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is\Documents\06 RAMBUTEAU\00 Analyse par les copropriétaires\01 DEVENOGE\03 Charges 2015\PUBLIE\"/>
    </mc:Choice>
  </mc:AlternateContent>
  <bookViews>
    <workbookView xWindow="0" yWindow="0" windowWidth="23010" windowHeight="8055" activeTab="1"/>
  </bookViews>
  <sheets>
    <sheet name="Compta liée ASL et SOCOPARs" sheetId="4" r:id="rId1"/>
    <sheet name="Synthèse ASL" sheetId="1" r:id="rId2"/>
    <sheet name="Synthèse SOCOPARs" sheetId="3" r:id="rId3"/>
  </sheets>
  <definedNames>
    <definedName name="_xlnm.Print_Area" localSheetId="1">'Synthèse ASL'!$A$1:$Y$35</definedName>
    <definedName name="_xlnm.Print_Area" localSheetId="2">'Synthèse SOCOPARs'!$A$1:$O$46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1" i="1" l="1"/>
  <c r="AE51" i="1"/>
  <c r="AF50" i="1"/>
  <c r="AE50" i="1"/>
  <c r="AE46" i="1"/>
  <c r="AF47" i="1"/>
  <c r="AE47" i="1"/>
  <c r="AD47" i="1"/>
  <c r="AD46" i="1"/>
  <c r="AD53" i="1"/>
  <c r="AE44" i="1"/>
  <c r="AF44" i="1"/>
  <c r="AE45" i="1"/>
  <c r="AE48" i="1"/>
  <c r="AF48" i="1"/>
  <c r="AF46" i="1"/>
  <c r="AF45" i="1"/>
  <c r="AF43" i="1"/>
  <c r="AF42" i="1"/>
  <c r="AF49" i="1"/>
  <c r="AF41" i="1"/>
  <c r="AF40" i="1"/>
  <c r="AF39" i="1"/>
  <c r="AE43" i="1"/>
  <c r="AE42" i="1"/>
  <c r="AE49" i="1"/>
  <c r="AE41" i="1"/>
  <c r="AE40" i="1"/>
  <c r="AE39" i="1"/>
  <c r="AF54" i="1"/>
  <c r="AD39" i="1"/>
  <c r="AD40" i="1"/>
  <c r="AD41" i="1"/>
  <c r="AD42" i="1"/>
  <c r="AD43" i="1"/>
  <c r="AD44" i="1"/>
  <c r="AD45" i="1"/>
  <c r="AD48" i="1"/>
  <c r="AF52" i="1"/>
  <c r="AE52" i="1"/>
  <c r="AD51" i="1"/>
  <c r="AD50" i="1"/>
  <c r="AD49" i="1"/>
  <c r="AM51" i="4"/>
  <c r="AE51" i="4"/>
  <c r="AG51" i="4"/>
  <c r="AC51" i="4"/>
  <c r="AG50" i="4"/>
  <c r="AE50" i="4"/>
  <c r="AC50" i="4"/>
  <c r="W35" i="1"/>
  <c r="G35" i="1"/>
  <c r="Y8" i="1"/>
  <c r="C24" i="1"/>
  <c r="C30" i="1"/>
  <c r="D24" i="1"/>
  <c r="D30" i="1"/>
  <c r="E24" i="1"/>
  <c r="E30" i="1"/>
  <c r="F24" i="1"/>
  <c r="F30" i="1"/>
  <c r="G24" i="1"/>
  <c r="G30" i="1"/>
  <c r="H24" i="1"/>
  <c r="H30" i="1"/>
  <c r="I24" i="1"/>
  <c r="I30" i="1"/>
  <c r="J24" i="1"/>
  <c r="J30" i="1"/>
  <c r="K24" i="1"/>
  <c r="K30" i="1"/>
  <c r="L24" i="1"/>
  <c r="L30" i="1"/>
  <c r="M24" i="1"/>
  <c r="M30" i="1"/>
  <c r="N24" i="1"/>
  <c r="N30" i="1"/>
  <c r="O24" i="1"/>
  <c r="O30" i="1"/>
  <c r="P24" i="1"/>
  <c r="P30" i="1"/>
  <c r="Q24" i="1"/>
  <c r="Q30" i="1"/>
  <c r="R24" i="1"/>
  <c r="R30" i="1"/>
  <c r="S24" i="1"/>
  <c r="S30" i="1"/>
  <c r="T24" i="1"/>
  <c r="T30" i="1"/>
  <c r="U24" i="1"/>
  <c r="U30" i="1"/>
  <c r="V24" i="1"/>
  <c r="V30" i="1"/>
  <c r="W24" i="1"/>
  <c r="W30" i="1"/>
  <c r="Y30" i="1"/>
  <c r="C31" i="1"/>
  <c r="C32" i="1"/>
  <c r="C34" i="1"/>
  <c r="Y5" i="4"/>
  <c r="J57" i="4"/>
  <c r="Y6" i="4"/>
  <c r="J58" i="4"/>
  <c r="B59" i="4"/>
  <c r="C7" i="4"/>
  <c r="D7" i="4"/>
  <c r="E7" i="4"/>
  <c r="F7" i="4"/>
  <c r="H7" i="4"/>
  <c r="M7" i="4"/>
  <c r="N7" i="4"/>
  <c r="O7" i="4"/>
  <c r="P7" i="4"/>
  <c r="Q7" i="4"/>
  <c r="R7" i="4"/>
  <c r="S7" i="4"/>
  <c r="T7" i="4"/>
  <c r="U7" i="4"/>
  <c r="V7" i="4"/>
  <c r="Y7" i="4"/>
  <c r="J59" i="4"/>
  <c r="B61" i="4"/>
  <c r="Y8" i="4"/>
  <c r="J61" i="4"/>
  <c r="Y9" i="4"/>
  <c r="J62" i="4"/>
  <c r="Y10" i="4"/>
  <c r="J63" i="4"/>
  <c r="Y11" i="4"/>
  <c r="J64" i="4"/>
  <c r="Y12" i="4"/>
  <c r="J65" i="4"/>
  <c r="Y13" i="4"/>
  <c r="J66" i="4"/>
  <c r="Y14" i="4"/>
  <c r="J67" i="4"/>
  <c r="Y15" i="4"/>
  <c r="J68" i="4"/>
  <c r="Y16" i="4"/>
  <c r="J69" i="4"/>
  <c r="Y17" i="4"/>
  <c r="J70" i="4"/>
  <c r="Y19" i="4"/>
  <c r="J71" i="4"/>
  <c r="Y21" i="4"/>
  <c r="J72" i="4"/>
  <c r="Y22" i="4"/>
  <c r="J73" i="4"/>
  <c r="Y23" i="4"/>
  <c r="J74" i="4"/>
  <c r="Y24" i="4"/>
  <c r="J75" i="4"/>
  <c r="Y26" i="4"/>
  <c r="J76" i="4"/>
  <c r="Y27" i="4"/>
  <c r="J77" i="4"/>
  <c r="Y28" i="4"/>
  <c r="J78" i="4"/>
  <c r="Y29" i="4"/>
  <c r="J80" i="4"/>
  <c r="Y30" i="4"/>
  <c r="J81" i="4"/>
  <c r="Y31" i="4"/>
  <c r="J82" i="4"/>
  <c r="Y32" i="4"/>
  <c r="J84" i="4"/>
  <c r="Y33" i="4"/>
  <c r="J85" i="4"/>
  <c r="Y34" i="4"/>
  <c r="J86" i="4"/>
  <c r="Y35" i="4"/>
  <c r="J87" i="4"/>
  <c r="Y36" i="4"/>
  <c r="J88" i="4"/>
  <c r="Y37" i="4"/>
  <c r="J90" i="4"/>
  <c r="Y39" i="4"/>
  <c r="J91" i="4"/>
  <c r="B93" i="4"/>
  <c r="Y40" i="4"/>
  <c r="J92" i="4"/>
  <c r="AK47" i="4"/>
  <c r="H41" i="4"/>
  <c r="Y41" i="4"/>
  <c r="J94" i="4"/>
  <c r="Y42" i="4"/>
  <c r="J95" i="4"/>
  <c r="Y44" i="4"/>
  <c r="J96" i="4"/>
  <c r="Y45" i="4"/>
  <c r="J97" i="4"/>
  <c r="B99" i="4"/>
  <c r="T46" i="4"/>
  <c r="U46" i="4"/>
  <c r="V46" i="4"/>
  <c r="Y46" i="4"/>
  <c r="J98" i="4"/>
  <c r="Y47" i="4"/>
  <c r="J100" i="4"/>
  <c r="Y48" i="4"/>
  <c r="J101" i="4"/>
  <c r="Y49" i="4"/>
  <c r="J102" i="4"/>
  <c r="Y50" i="4"/>
  <c r="J103" i="4"/>
  <c r="J111" i="4"/>
  <c r="K102" i="4"/>
  <c r="B79" i="4"/>
  <c r="B104" i="4"/>
  <c r="B105" i="4"/>
  <c r="B106" i="4"/>
  <c r="F134" i="4"/>
  <c r="B109" i="4"/>
  <c r="B111" i="4"/>
  <c r="J112" i="4"/>
  <c r="J113" i="4"/>
  <c r="J115" i="4"/>
  <c r="J118" i="4"/>
  <c r="E3" i="3"/>
  <c r="D44" i="3"/>
  <c r="E5" i="3"/>
  <c r="F3" i="3"/>
  <c r="F5" i="3"/>
  <c r="I3" i="3"/>
  <c r="H44" i="3"/>
  <c r="I5" i="3"/>
  <c r="J3" i="3"/>
  <c r="J5" i="3"/>
  <c r="L5" i="3"/>
  <c r="H31" i="1"/>
  <c r="M5" i="3"/>
  <c r="O5" i="3"/>
  <c r="E6" i="3"/>
  <c r="F6" i="3"/>
  <c r="I6" i="3"/>
  <c r="J6" i="3"/>
  <c r="O6" i="3"/>
  <c r="E7" i="3"/>
  <c r="F7" i="3"/>
  <c r="I7" i="3"/>
  <c r="J7" i="3"/>
  <c r="O7" i="3"/>
  <c r="E8" i="3"/>
  <c r="F8" i="3"/>
  <c r="I8" i="3"/>
  <c r="J8" i="3"/>
  <c r="O8" i="3"/>
  <c r="E9" i="3"/>
  <c r="F9" i="3"/>
  <c r="I9" i="3"/>
  <c r="J9" i="3"/>
  <c r="O9" i="3"/>
  <c r="E10" i="3"/>
  <c r="F10" i="3"/>
  <c r="I10" i="3"/>
  <c r="J10" i="3"/>
  <c r="O10" i="3"/>
  <c r="E11" i="3"/>
  <c r="F11" i="3"/>
  <c r="I11" i="3"/>
  <c r="J11" i="3"/>
  <c r="O11" i="3"/>
  <c r="E12" i="3"/>
  <c r="F12" i="3"/>
  <c r="I12" i="3"/>
  <c r="J12" i="3"/>
  <c r="O12" i="3"/>
  <c r="E13" i="3"/>
  <c r="F13" i="3"/>
  <c r="I13" i="3"/>
  <c r="J13" i="3"/>
  <c r="O13" i="3"/>
  <c r="E14" i="3"/>
  <c r="F14" i="3"/>
  <c r="I14" i="3"/>
  <c r="J14" i="3"/>
  <c r="O14" i="3"/>
  <c r="E15" i="3"/>
  <c r="F15" i="3"/>
  <c r="I15" i="3"/>
  <c r="J15" i="3"/>
  <c r="O15" i="3"/>
  <c r="E16" i="3"/>
  <c r="F16" i="3"/>
  <c r="I16" i="3"/>
  <c r="J16" i="3"/>
  <c r="O16" i="3"/>
  <c r="E17" i="3"/>
  <c r="F17" i="3"/>
  <c r="I17" i="3"/>
  <c r="J17" i="3"/>
  <c r="O17" i="3"/>
  <c r="E18" i="3"/>
  <c r="F18" i="3"/>
  <c r="I18" i="3"/>
  <c r="J18" i="3"/>
  <c r="O18" i="3"/>
  <c r="E19" i="3"/>
  <c r="F19" i="3"/>
  <c r="I19" i="3"/>
  <c r="J19" i="3"/>
  <c r="O19" i="3"/>
  <c r="E20" i="3"/>
  <c r="F20" i="3"/>
  <c r="I20" i="3"/>
  <c r="J20" i="3"/>
  <c r="O20" i="3"/>
  <c r="E21" i="3"/>
  <c r="F21" i="3"/>
  <c r="I21" i="3"/>
  <c r="J21" i="3"/>
  <c r="O21" i="3"/>
  <c r="E22" i="3"/>
  <c r="F22" i="3"/>
  <c r="I22" i="3"/>
  <c r="J22" i="3"/>
  <c r="O22" i="3"/>
  <c r="E23" i="3"/>
  <c r="F23" i="3"/>
  <c r="I23" i="3"/>
  <c r="J23" i="3"/>
  <c r="O23" i="3"/>
  <c r="E24" i="3"/>
  <c r="F24" i="3"/>
  <c r="I24" i="3"/>
  <c r="J24" i="3"/>
  <c r="O24" i="3"/>
  <c r="E25" i="3"/>
  <c r="F25" i="3"/>
  <c r="I25" i="3"/>
  <c r="J25" i="3"/>
  <c r="O25" i="3"/>
  <c r="E26" i="3"/>
  <c r="F26" i="3"/>
  <c r="I26" i="3"/>
  <c r="J26" i="3"/>
  <c r="O26" i="3"/>
  <c r="E27" i="3"/>
  <c r="F27" i="3"/>
  <c r="I27" i="3"/>
  <c r="J27" i="3"/>
  <c r="O27" i="3"/>
  <c r="E28" i="3"/>
  <c r="F28" i="3"/>
  <c r="I28" i="3"/>
  <c r="J28" i="3"/>
  <c r="O28" i="3"/>
  <c r="E29" i="3"/>
  <c r="F29" i="3"/>
  <c r="I29" i="3"/>
  <c r="J29" i="3"/>
  <c r="O29" i="3"/>
  <c r="E30" i="3"/>
  <c r="F30" i="3"/>
  <c r="I30" i="3"/>
  <c r="J30" i="3"/>
  <c r="O30" i="3"/>
  <c r="E31" i="3"/>
  <c r="F31" i="3"/>
  <c r="I31" i="3"/>
  <c r="J31" i="3"/>
  <c r="O31" i="3"/>
  <c r="E32" i="3"/>
  <c r="F32" i="3"/>
  <c r="I32" i="3"/>
  <c r="J32" i="3"/>
  <c r="O32" i="3"/>
  <c r="E33" i="3"/>
  <c r="F33" i="3"/>
  <c r="I33" i="3"/>
  <c r="J33" i="3"/>
  <c r="O33" i="3"/>
  <c r="E34" i="3"/>
  <c r="F34" i="3"/>
  <c r="I34" i="3"/>
  <c r="J34" i="3"/>
  <c r="O34" i="3"/>
  <c r="E35" i="3"/>
  <c r="F35" i="3"/>
  <c r="I35" i="3"/>
  <c r="J35" i="3"/>
  <c r="O35" i="3"/>
  <c r="E36" i="3"/>
  <c r="F36" i="3"/>
  <c r="I36" i="3"/>
  <c r="J36" i="3"/>
  <c r="O36" i="3"/>
  <c r="E37" i="3"/>
  <c r="F37" i="3"/>
  <c r="I37" i="3"/>
  <c r="J37" i="3"/>
  <c r="O37" i="3"/>
  <c r="E38" i="3"/>
  <c r="F38" i="3"/>
  <c r="I38" i="3"/>
  <c r="J38" i="3"/>
  <c r="O38" i="3"/>
  <c r="E39" i="3"/>
  <c r="F39" i="3"/>
  <c r="I39" i="3"/>
  <c r="J39" i="3"/>
  <c r="O39" i="3"/>
  <c r="E40" i="3"/>
  <c r="F40" i="3"/>
  <c r="I40" i="3"/>
  <c r="J40" i="3"/>
  <c r="O40" i="3"/>
  <c r="E41" i="3"/>
  <c r="F41" i="3"/>
  <c r="I41" i="3"/>
  <c r="J41" i="3"/>
  <c r="O41" i="3"/>
  <c r="E42" i="3"/>
  <c r="F42" i="3"/>
  <c r="I42" i="3"/>
  <c r="J42" i="3"/>
  <c r="O42" i="3"/>
  <c r="E43" i="3"/>
  <c r="F43" i="3"/>
  <c r="I43" i="3"/>
  <c r="J43" i="3"/>
  <c r="O43" i="3"/>
  <c r="N46" i="3"/>
  <c r="H59" i="4"/>
  <c r="AD3" i="4"/>
  <c r="AC47" i="4"/>
  <c r="AD5" i="4"/>
  <c r="AD42" i="4"/>
  <c r="AF4" i="4"/>
  <c r="H57" i="4"/>
  <c r="AF3" i="4"/>
  <c r="AE47" i="4"/>
  <c r="AF5" i="4"/>
  <c r="H61" i="4"/>
  <c r="AH3" i="4"/>
  <c r="AG47" i="4"/>
  <c r="AH5" i="4"/>
  <c r="H63" i="4"/>
  <c r="AJ3" i="4"/>
  <c r="AI47" i="4"/>
  <c r="AJ5" i="4"/>
  <c r="H94" i="4"/>
  <c r="AL3" i="4"/>
  <c r="AL5" i="4"/>
  <c r="H80" i="4"/>
  <c r="AS4" i="4"/>
  <c r="H92" i="4"/>
  <c r="AS5" i="4"/>
  <c r="H95" i="4"/>
  <c r="AS6" i="4"/>
  <c r="H98" i="4"/>
  <c r="AS7" i="4"/>
  <c r="H58" i="4"/>
  <c r="H62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81" i="4"/>
  <c r="H82" i="4"/>
  <c r="H84" i="4"/>
  <c r="H85" i="4"/>
  <c r="H86" i="4"/>
  <c r="H87" i="4"/>
  <c r="H88" i="4"/>
  <c r="H90" i="4"/>
  <c r="H91" i="4"/>
  <c r="H96" i="4"/>
  <c r="H97" i="4"/>
  <c r="H100" i="4"/>
  <c r="H101" i="4"/>
  <c r="H102" i="4"/>
  <c r="H103" i="4"/>
  <c r="H109" i="4"/>
  <c r="H111" i="4"/>
  <c r="H112" i="4"/>
  <c r="H113" i="4"/>
  <c r="AS8" i="4"/>
  <c r="AS9" i="4"/>
  <c r="AO5" i="4"/>
  <c r="AP5" i="4"/>
  <c r="D31" i="1"/>
  <c r="D32" i="1"/>
  <c r="D34" i="1"/>
  <c r="F130" i="4"/>
  <c r="M57" i="4"/>
  <c r="M58" i="4"/>
  <c r="M59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80" i="4"/>
  <c r="M81" i="4"/>
  <c r="M82" i="4"/>
  <c r="M84" i="4"/>
  <c r="M85" i="4"/>
  <c r="M86" i="4"/>
  <c r="M87" i="4"/>
  <c r="M88" i="4"/>
  <c r="M90" i="4"/>
  <c r="M91" i="4"/>
  <c r="M92" i="4"/>
  <c r="M94" i="4"/>
  <c r="M95" i="4"/>
  <c r="M96" i="4"/>
  <c r="M97" i="4"/>
  <c r="M98" i="4"/>
  <c r="M100" i="4"/>
  <c r="M101" i="4"/>
  <c r="M102" i="4"/>
  <c r="M103" i="4"/>
  <c r="M111" i="4"/>
  <c r="M112" i="4"/>
  <c r="M113" i="4"/>
  <c r="M115" i="4"/>
  <c r="M118" i="4"/>
  <c r="Y127" i="4"/>
  <c r="C61" i="4"/>
  <c r="D61" i="4"/>
  <c r="E61" i="4"/>
  <c r="F61" i="4"/>
  <c r="G61" i="4"/>
  <c r="I61" i="4"/>
  <c r="N61" i="4"/>
  <c r="O61" i="4"/>
  <c r="P61" i="4"/>
  <c r="Q61" i="4"/>
  <c r="R61" i="4"/>
  <c r="S61" i="4"/>
  <c r="T61" i="4"/>
  <c r="U61" i="4"/>
  <c r="V61" i="4"/>
  <c r="W61" i="4"/>
  <c r="X61" i="4"/>
  <c r="Y61" i="4"/>
  <c r="N127" i="4"/>
  <c r="H115" i="4"/>
  <c r="H118" i="4"/>
  <c r="Y126" i="4"/>
  <c r="C59" i="4"/>
  <c r="D59" i="4"/>
  <c r="E59" i="4"/>
  <c r="F59" i="4"/>
  <c r="G59" i="4"/>
  <c r="I59" i="4"/>
  <c r="N59" i="4"/>
  <c r="O59" i="4"/>
  <c r="P59" i="4"/>
  <c r="Q59" i="4"/>
  <c r="R59" i="4"/>
  <c r="S59" i="4"/>
  <c r="T59" i="4"/>
  <c r="U59" i="4"/>
  <c r="V59" i="4"/>
  <c r="W59" i="4"/>
  <c r="X59" i="4"/>
  <c r="Y59" i="4"/>
  <c r="N126" i="4"/>
  <c r="T57" i="4"/>
  <c r="T58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80" i="4"/>
  <c r="T81" i="4"/>
  <c r="T82" i="4"/>
  <c r="T84" i="4"/>
  <c r="T85" i="4"/>
  <c r="T86" i="4"/>
  <c r="T87" i="4"/>
  <c r="T88" i="4"/>
  <c r="T90" i="4"/>
  <c r="T91" i="4"/>
  <c r="T92" i="4"/>
  <c r="T94" i="4"/>
  <c r="T95" i="4"/>
  <c r="T96" i="4"/>
  <c r="T97" i="4"/>
  <c r="T98" i="4"/>
  <c r="T100" i="4"/>
  <c r="T101" i="4"/>
  <c r="T103" i="4"/>
  <c r="T111" i="4"/>
  <c r="T112" i="4"/>
  <c r="T113" i="4"/>
  <c r="T115" i="4"/>
  <c r="U57" i="4"/>
  <c r="U58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80" i="4"/>
  <c r="U81" i="4"/>
  <c r="U82" i="4"/>
  <c r="U84" i="4"/>
  <c r="U85" i="4"/>
  <c r="U86" i="4"/>
  <c r="U87" i="4"/>
  <c r="U88" i="4"/>
  <c r="U90" i="4"/>
  <c r="U91" i="4"/>
  <c r="U92" i="4"/>
  <c r="U94" i="4"/>
  <c r="U95" i="4"/>
  <c r="U96" i="4"/>
  <c r="U97" i="4"/>
  <c r="U98" i="4"/>
  <c r="U100" i="4"/>
  <c r="U101" i="4"/>
  <c r="U103" i="4"/>
  <c r="U111" i="4"/>
  <c r="U112" i="4"/>
  <c r="U113" i="4"/>
  <c r="U115" i="4"/>
  <c r="V57" i="4"/>
  <c r="V58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80" i="4"/>
  <c r="V81" i="4"/>
  <c r="V82" i="4"/>
  <c r="V84" i="4"/>
  <c r="V85" i="4"/>
  <c r="V86" i="4"/>
  <c r="V87" i="4"/>
  <c r="V88" i="4"/>
  <c r="V90" i="4"/>
  <c r="V91" i="4"/>
  <c r="V92" i="4"/>
  <c r="V94" i="4"/>
  <c r="V95" i="4"/>
  <c r="V96" i="4"/>
  <c r="V97" i="4"/>
  <c r="V98" i="4"/>
  <c r="V100" i="4"/>
  <c r="V101" i="4"/>
  <c r="V103" i="4"/>
  <c r="V111" i="4"/>
  <c r="V112" i="4"/>
  <c r="V113" i="4"/>
  <c r="V115" i="4"/>
  <c r="W57" i="4"/>
  <c r="W58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80" i="4"/>
  <c r="W81" i="4"/>
  <c r="W82" i="4"/>
  <c r="W84" i="4"/>
  <c r="W85" i="4"/>
  <c r="W86" i="4"/>
  <c r="W87" i="4"/>
  <c r="W88" i="4"/>
  <c r="W90" i="4"/>
  <c r="W91" i="4"/>
  <c r="W92" i="4"/>
  <c r="W94" i="4"/>
  <c r="W95" i="4"/>
  <c r="W96" i="4"/>
  <c r="W97" i="4"/>
  <c r="W98" i="4"/>
  <c r="W100" i="4"/>
  <c r="W101" i="4"/>
  <c r="W103" i="4"/>
  <c r="W111" i="4"/>
  <c r="W112" i="4"/>
  <c r="W113" i="4"/>
  <c r="W115" i="4"/>
  <c r="W116" i="4"/>
  <c r="W118" i="4"/>
  <c r="S57" i="4"/>
  <c r="S58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80" i="4"/>
  <c r="S81" i="4"/>
  <c r="S82" i="4"/>
  <c r="S84" i="4"/>
  <c r="S85" i="4"/>
  <c r="S86" i="4"/>
  <c r="S87" i="4"/>
  <c r="S88" i="4"/>
  <c r="S90" i="4"/>
  <c r="S91" i="4"/>
  <c r="S92" i="4"/>
  <c r="S94" i="4"/>
  <c r="S95" i="4"/>
  <c r="S96" i="4"/>
  <c r="S97" i="4"/>
  <c r="S98" i="4"/>
  <c r="S100" i="4"/>
  <c r="S101" i="4"/>
  <c r="S103" i="4"/>
  <c r="S111" i="4"/>
  <c r="S112" i="4"/>
  <c r="S113" i="4"/>
  <c r="S115" i="4"/>
  <c r="S118" i="4"/>
  <c r="R57" i="4"/>
  <c r="R58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80" i="4"/>
  <c r="R81" i="4"/>
  <c r="R82" i="4"/>
  <c r="R84" i="4"/>
  <c r="R85" i="4"/>
  <c r="R86" i="4"/>
  <c r="R87" i="4"/>
  <c r="R88" i="4"/>
  <c r="R90" i="4"/>
  <c r="R91" i="4"/>
  <c r="R92" i="4"/>
  <c r="R94" i="4"/>
  <c r="R95" i="4"/>
  <c r="R96" i="4"/>
  <c r="R97" i="4"/>
  <c r="R98" i="4"/>
  <c r="R100" i="4"/>
  <c r="R101" i="4"/>
  <c r="R103" i="4"/>
  <c r="R111" i="4"/>
  <c r="R112" i="4"/>
  <c r="R113" i="4"/>
  <c r="R115" i="4"/>
  <c r="R118" i="4"/>
  <c r="Q57" i="4"/>
  <c r="Q58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80" i="4"/>
  <c r="Q81" i="4"/>
  <c r="Q82" i="4"/>
  <c r="Q84" i="4"/>
  <c r="Q85" i="4"/>
  <c r="Q86" i="4"/>
  <c r="Q87" i="4"/>
  <c r="Q88" i="4"/>
  <c r="Q90" i="4"/>
  <c r="Q91" i="4"/>
  <c r="Q92" i="4"/>
  <c r="Q94" i="4"/>
  <c r="Q95" i="4"/>
  <c r="Q96" i="4"/>
  <c r="Q97" i="4"/>
  <c r="Q98" i="4"/>
  <c r="Q100" i="4"/>
  <c r="Q101" i="4"/>
  <c r="Q103" i="4"/>
  <c r="Q111" i="4"/>
  <c r="Q112" i="4"/>
  <c r="Q113" i="4"/>
  <c r="Q115" i="4"/>
  <c r="Q118" i="4"/>
  <c r="P57" i="4"/>
  <c r="P58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80" i="4"/>
  <c r="P81" i="4"/>
  <c r="P82" i="4"/>
  <c r="P84" i="4"/>
  <c r="P85" i="4"/>
  <c r="P86" i="4"/>
  <c r="P87" i="4"/>
  <c r="P88" i="4"/>
  <c r="P90" i="4"/>
  <c r="P91" i="4"/>
  <c r="P92" i="4"/>
  <c r="P94" i="4"/>
  <c r="P95" i="4"/>
  <c r="P96" i="4"/>
  <c r="P97" i="4"/>
  <c r="P98" i="4"/>
  <c r="P100" i="4"/>
  <c r="P101" i="4"/>
  <c r="P103" i="4"/>
  <c r="P111" i="4"/>
  <c r="P112" i="4"/>
  <c r="P113" i="4"/>
  <c r="P115" i="4"/>
  <c r="P118" i="4"/>
  <c r="O57" i="4"/>
  <c r="O58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80" i="4"/>
  <c r="O81" i="4"/>
  <c r="O82" i="4"/>
  <c r="O84" i="4"/>
  <c r="O85" i="4"/>
  <c r="O86" i="4"/>
  <c r="O87" i="4"/>
  <c r="O88" i="4"/>
  <c r="O90" i="4"/>
  <c r="O91" i="4"/>
  <c r="O92" i="4"/>
  <c r="O94" i="4"/>
  <c r="O95" i="4"/>
  <c r="O96" i="4"/>
  <c r="O97" i="4"/>
  <c r="O98" i="4"/>
  <c r="O100" i="4"/>
  <c r="O101" i="4"/>
  <c r="O103" i="4"/>
  <c r="O111" i="4"/>
  <c r="O112" i="4"/>
  <c r="O113" i="4"/>
  <c r="O115" i="4"/>
  <c r="O118" i="4"/>
  <c r="N57" i="4"/>
  <c r="N58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80" i="4"/>
  <c r="N81" i="4"/>
  <c r="N82" i="4"/>
  <c r="N84" i="4"/>
  <c r="N85" i="4"/>
  <c r="N86" i="4"/>
  <c r="N87" i="4"/>
  <c r="N88" i="4"/>
  <c r="N90" i="4"/>
  <c r="N91" i="4"/>
  <c r="N92" i="4"/>
  <c r="N94" i="4"/>
  <c r="N95" i="4"/>
  <c r="N96" i="4"/>
  <c r="N97" i="4"/>
  <c r="N98" i="4"/>
  <c r="N100" i="4"/>
  <c r="N101" i="4"/>
  <c r="N103" i="4"/>
  <c r="N111" i="4"/>
  <c r="N112" i="4"/>
  <c r="N113" i="4"/>
  <c r="N115" i="4"/>
  <c r="N118" i="4"/>
  <c r="F57" i="4"/>
  <c r="F58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80" i="4"/>
  <c r="F81" i="4"/>
  <c r="F82" i="4"/>
  <c r="F84" i="4"/>
  <c r="F85" i="4"/>
  <c r="F86" i="4"/>
  <c r="F87" i="4"/>
  <c r="F88" i="4"/>
  <c r="F90" i="4"/>
  <c r="F91" i="4"/>
  <c r="F92" i="4"/>
  <c r="F94" i="4"/>
  <c r="F95" i="4"/>
  <c r="F96" i="4"/>
  <c r="F97" i="4"/>
  <c r="F98" i="4"/>
  <c r="F100" i="4"/>
  <c r="F101" i="4"/>
  <c r="F103" i="4"/>
  <c r="F111" i="4"/>
  <c r="F112" i="4"/>
  <c r="F113" i="4"/>
  <c r="F115" i="4"/>
  <c r="G57" i="4"/>
  <c r="G58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80" i="4"/>
  <c r="G81" i="4"/>
  <c r="G82" i="4"/>
  <c r="G84" i="4"/>
  <c r="G85" i="4"/>
  <c r="G86" i="4"/>
  <c r="G87" i="4"/>
  <c r="G88" i="4"/>
  <c r="G90" i="4"/>
  <c r="G91" i="4"/>
  <c r="G92" i="4"/>
  <c r="G94" i="4"/>
  <c r="G95" i="4"/>
  <c r="G96" i="4"/>
  <c r="G97" i="4"/>
  <c r="G98" i="4"/>
  <c r="G100" i="4"/>
  <c r="G101" i="4"/>
  <c r="G103" i="4"/>
  <c r="G111" i="4"/>
  <c r="G112" i="4"/>
  <c r="G113" i="4"/>
  <c r="G115" i="4"/>
  <c r="G116" i="4"/>
  <c r="G118" i="4"/>
  <c r="E57" i="4"/>
  <c r="E58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80" i="4"/>
  <c r="E81" i="4"/>
  <c r="E82" i="4"/>
  <c r="E84" i="4"/>
  <c r="E85" i="4"/>
  <c r="E86" i="4"/>
  <c r="E87" i="4"/>
  <c r="E88" i="4"/>
  <c r="E90" i="4"/>
  <c r="E91" i="4"/>
  <c r="E92" i="4"/>
  <c r="E94" i="4"/>
  <c r="E95" i="4"/>
  <c r="E96" i="4"/>
  <c r="E97" i="4"/>
  <c r="E98" i="4"/>
  <c r="E100" i="4"/>
  <c r="E101" i="4"/>
  <c r="E103" i="4"/>
  <c r="E111" i="4"/>
  <c r="E112" i="4"/>
  <c r="E113" i="4"/>
  <c r="E115" i="4"/>
  <c r="E118" i="4"/>
  <c r="D57" i="4"/>
  <c r="D58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80" i="4"/>
  <c r="D81" i="4"/>
  <c r="D82" i="4"/>
  <c r="D84" i="4"/>
  <c r="D85" i="4"/>
  <c r="D86" i="4"/>
  <c r="D87" i="4"/>
  <c r="D88" i="4"/>
  <c r="D90" i="4"/>
  <c r="D91" i="4"/>
  <c r="D92" i="4"/>
  <c r="D94" i="4"/>
  <c r="D95" i="4"/>
  <c r="D96" i="4"/>
  <c r="D97" i="4"/>
  <c r="D98" i="4"/>
  <c r="D100" i="4"/>
  <c r="D101" i="4"/>
  <c r="D103" i="4"/>
  <c r="D111" i="4"/>
  <c r="D112" i="4"/>
  <c r="D113" i="4"/>
  <c r="D115" i="4"/>
  <c r="D118" i="4"/>
  <c r="C57" i="4"/>
  <c r="C58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80" i="4"/>
  <c r="C81" i="4"/>
  <c r="C82" i="4"/>
  <c r="C84" i="4"/>
  <c r="C85" i="4"/>
  <c r="C86" i="4"/>
  <c r="C87" i="4"/>
  <c r="C88" i="4"/>
  <c r="C90" i="4"/>
  <c r="C91" i="4"/>
  <c r="C92" i="4"/>
  <c r="C94" i="4"/>
  <c r="C95" i="4"/>
  <c r="C96" i="4"/>
  <c r="C97" i="4"/>
  <c r="C98" i="4"/>
  <c r="C100" i="4"/>
  <c r="C103" i="4"/>
  <c r="C111" i="4"/>
  <c r="C112" i="4"/>
  <c r="C113" i="4"/>
  <c r="C115" i="4"/>
  <c r="C118" i="4"/>
  <c r="Y125" i="4"/>
  <c r="Y120" i="4"/>
  <c r="Y117" i="4"/>
  <c r="I57" i="4"/>
  <c r="I58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80" i="4"/>
  <c r="I81" i="4"/>
  <c r="I82" i="4"/>
  <c r="I84" i="4"/>
  <c r="I85" i="4"/>
  <c r="I86" i="4"/>
  <c r="I87" i="4"/>
  <c r="I88" i="4"/>
  <c r="I90" i="4"/>
  <c r="I91" i="4"/>
  <c r="I92" i="4"/>
  <c r="I94" i="4"/>
  <c r="I95" i="4"/>
  <c r="I96" i="4"/>
  <c r="I97" i="4"/>
  <c r="I98" i="4"/>
  <c r="I100" i="4"/>
  <c r="I101" i="4"/>
  <c r="I103" i="4"/>
  <c r="I111" i="4"/>
  <c r="I112" i="4"/>
  <c r="I113" i="4"/>
  <c r="I115" i="4"/>
  <c r="Y115" i="4"/>
  <c r="Y118" i="4"/>
  <c r="B115" i="4"/>
  <c r="Y113" i="4"/>
  <c r="Y112" i="4"/>
  <c r="X57" i="4"/>
  <c r="Y57" i="4"/>
  <c r="X58" i="4"/>
  <c r="Y58" i="4"/>
  <c r="X62" i="4"/>
  <c r="Y62" i="4"/>
  <c r="X63" i="4"/>
  <c r="Y63" i="4"/>
  <c r="X64" i="4"/>
  <c r="Y64" i="4"/>
  <c r="X65" i="4"/>
  <c r="Y65" i="4"/>
  <c r="X66" i="4"/>
  <c r="Y66" i="4"/>
  <c r="X67" i="4"/>
  <c r="Y67" i="4"/>
  <c r="X68" i="4"/>
  <c r="Y68" i="4"/>
  <c r="X69" i="4"/>
  <c r="Y69" i="4"/>
  <c r="X70" i="4"/>
  <c r="Y70" i="4"/>
  <c r="X71" i="4"/>
  <c r="Y71" i="4"/>
  <c r="X72" i="4"/>
  <c r="Y72" i="4"/>
  <c r="X73" i="4"/>
  <c r="Y73" i="4"/>
  <c r="X74" i="4"/>
  <c r="Y74" i="4"/>
  <c r="X75" i="4"/>
  <c r="Y75" i="4"/>
  <c r="X76" i="4"/>
  <c r="Y76" i="4"/>
  <c r="X77" i="4"/>
  <c r="Y77" i="4"/>
  <c r="X78" i="4"/>
  <c r="Y78" i="4"/>
  <c r="Y79" i="4"/>
  <c r="X80" i="4"/>
  <c r="Y80" i="4"/>
  <c r="X81" i="4"/>
  <c r="Y81" i="4"/>
  <c r="X82" i="4"/>
  <c r="Y82" i="4"/>
  <c r="X84" i="4"/>
  <c r="Y84" i="4"/>
  <c r="X85" i="4"/>
  <c r="Y85" i="4"/>
  <c r="X86" i="4"/>
  <c r="Y86" i="4"/>
  <c r="X87" i="4"/>
  <c r="Y87" i="4"/>
  <c r="X88" i="4"/>
  <c r="Y88" i="4"/>
  <c r="X90" i="4"/>
  <c r="Y90" i="4"/>
  <c r="X91" i="4"/>
  <c r="Y91" i="4"/>
  <c r="X92" i="4"/>
  <c r="Y92" i="4"/>
  <c r="Y93" i="4"/>
  <c r="X94" i="4"/>
  <c r="Y94" i="4"/>
  <c r="X95" i="4"/>
  <c r="Y95" i="4"/>
  <c r="X96" i="4"/>
  <c r="Y96" i="4"/>
  <c r="X97" i="4"/>
  <c r="Y97" i="4"/>
  <c r="X98" i="4"/>
  <c r="Y98" i="4"/>
  <c r="Y99" i="4"/>
  <c r="X100" i="4"/>
  <c r="Y100" i="4"/>
  <c r="X101" i="4"/>
  <c r="Y101" i="4"/>
  <c r="L102" i="4"/>
  <c r="X102" i="4"/>
  <c r="Y102" i="4"/>
  <c r="K103" i="4"/>
  <c r="L103" i="4"/>
  <c r="X103" i="4"/>
  <c r="Y103" i="4"/>
  <c r="Y104" i="4"/>
  <c r="Y105" i="4"/>
  <c r="K106" i="4"/>
  <c r="L106" i="4"/>
  <c r="Y106" i="4"/>
  <c r="Y111" i="4"/>
  <c r="X111" i="4"/>
  <c r="L111" i="4"/>
  <c r="K111" i="4"/>
  <c r="B54" i="4"/>
  <c r="A52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9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7" i="4"/>
  <c r="AL38" i="4"/>
  <c r="AL39" i="4"/>
  <c r="AL40" i="4"/>
  <c r="AL42" i="4"/>
  <c r="AL47" i="4"/>
  <c r="AK50" i="4"/>
  <c r="AK51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9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7" i="4"/>
  <c r="AJ38" i="4"/>
  <c r="AJ39" i="4"/>
  <c r="AJ40" i="4"/>
  <c r="AJ42" i="4"/>
  <c r="AJ45" i="4"/>
  <c r="AJ47" i="4"/>
  <c r="AI50" i="4"/>
  <c r="AI51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9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7" i="4"/>
  <c r="AH38" i="4"/>
  <c r="AH39" i="4"/>
  <c r="AH40" i="4"/>
  <c r="AH42" i="4"/>
  <c r="AH46" i="4"/>
  <c r="AH47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9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7" i="4"/>
  <c r="AF38" i="4"/>
  <c r="AF39" i="4"/>
  <c r="AF40" i="4"/>
  <c r="AF42" i="4"/>
  <c r="AF43" i="4"/>
  <c r="AF47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9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7" i="4"/>
  <c r="AD38" i="4"/>
  <c r="AD39" i="4"/>
  <c r="AD40" i="4"/>
  <c r="AD44" i="4"/>
  <c r="AD47" i="4"/>
  <c r="AM50" i="4"/>
  <c r="AN3" i="4"/>
  <c r="AM47" i="4"/>
  <c r="AN12" i="4"/>
  <c r="AN13" i="4"/>
  <c r="AN14" i="4"/>
  <c r="AN15" i="4"/>
  <c r="AN22" i="4"/>
  <c r="AN23" i="4"/>
  <c r="AN25" i="4"/>
  <c r="AN35" i="4"/>
  <c r="AN36" i="4"/>
  <c r="AN37" i="4"/>
  <c r="AN39" i="4"/>
  <c r="AN41" i="4"/>
  <c r="AN47" i="4"/>
  <c r="AO23" i="4"/>
  <c r="AO26" i="4"/>
  <c r="AS11" i="4"/>
  <c r="AS12" i="4"/>
  <c r="AS13" i="4"/>
  <c r="AS14" i="4"/>
  <c r="AS15" i="4"/>
  <c r="AO27" i="4"/>
  <c r="AS17" i="4"/>
  <c r="AS18" i="4"/>
  <c r="AS19" i="4"/>
  <c r="AS20" i="4"/>
  <c r="AS21" i="4"/>
  <c r="AO28" i="4"/>
  <c r="AO29" i="4"/>
  <c r="AO30" i="4"/>
  <c r="AO34" i="4"/>
  <c r="AO47" i="4"/>
  <c r="AP48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9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V25" i="4"/>
  <c r="U25" i="4"/>
  <c r="T25" i="4"/>
  <c r="S25" i="4"/>
  <c r="R25" i="4"/>
  <c r="Q25" i="4"/>
  <c r="P25" i="4"/>
  <c r="O25" i="4"/>
  <c r="N25" i="4"/>
  <c r="M25" i="4"/>
  <c r="H25" i="4"/>
  <c r="G25" i="4"/>
  <c r="F25" i="4"/>
  <c r="E25" i="4"/>
  <c r="D25" i="4"/>
  <c r="C25" i="4"/>
  <c r="AB2" i="4"/>
  <c r="H32" i="1"/>
  <c r="H34" i="1"/>
  <c r="I31" i="1"/>
  <c r="I32" i="1"/>
  <c r="I34" i="1"/>
  <c r="J31" i="1"/>
  <c r="J32" i="1"/>
  <c r="J34" i="1"/>
  <c r="K31" i="1"/>
  <c r="K32" i="1"/>
  <c r="K34" i="1"/>
  <c r="L31" i="1"/>
  <c r="L32" i="1"/>
  <c r="L34" i="1"/>
  <c r="B16" i="1"/>
  <c r="Y4" i="1"/>
  <c r="C16" i="1"/>
  <c r="B17" i="1"/>
  <c r="Y5" i="1"/>
  <c r="C17" i="1"/>
  <c r="C19" i="1"/>
  <c r="D16" i="1"/>
  <c r="D17" i="1"/>
  <c r="D19" i="1"/>
  <c r="E16" i="1"/>
  <c r="E17" i="1"/>
  <c r="E19" i="1"/>
  <c r="F16" i="1"/>
  <c r="F17" i="1"/>
  <c r="F19" i="1"/>
  <c r="G16" i="1"/>
  <c r="G17" i="1"/>
  <c r="G19" i="1"/>
  <c r="H16" i="1"/>
  <c r="H17" i="1"/>
  <c r="H19" i="1"/>
  <c r="I16" i="1"/>
  <c r="I17" i="1"/>
  <c r="I19" i="1"/>
  <c r="J16" i="1"/>
  <c r="J17" i="1"/>
  <c r="J19" i="1"/>
  <c r="K16" i="1"/>
  <c r="K17" i="1"/>
  <c r="K19" i="1"/>
  <c r="L16" i="1"/>
  <c r="L17" i="1"/>
  <c r="L19" i="1"/>
  <c r="M16" i="1"/>
  <c r="M17" i="1"/>
  <c r="M19" i="1"/>
  <c r="N16" i="1"/>
  <c r="N17" i="1"/>
  <c r="N19" i="1"/>
  <c r="O16" i="1"/>
  <c r="O17" i="1"/>
  <c r="O19" i="1"/>
  <c r="P16" i="1"/>
  <c r="P17" i="1"/>
  <c r="P19" i="1"/>
  <c r="Q16" i="1"/>
  <c r="Q17" i="1"/>
  <c r="Q19" i="1"/>
  <c r="R16" i="1"/>
  <c r="R17" i="1"/>
  <c r="R19" i="1"/>
  <c r="S16" i="1"/>
  <c r="S17" i="1"/>
  <c r="S19" i="1"/>
  <c r="T16" i="1"/>
  <c r="T17" i="1"/>
  <c r="T19" i="1"/>
  <c r="U16" i="1"/>
  <c r="U17" i="1"/>
  <c r="U19" i="1"/>
  <c r="V16" i="1"/>
  <c r="V17" i="1"/>
  <c r="V19" i="1"/>
  <c r="W16" i="1"/>
  <c r="W17" i="1"/>
  <c r="W19" i="1"/>
  <c r="X16" i="1"/>
  <c r="X17" i="1"/>
  <c r="X19" i="1"/>
  <c r="Y19" i="1"/>
  <c r="C20" i="1"/>
  <c r="C21" i="1"/>
  <c r="B24" i="1"/>
  <c r="B25" i="1"/>
  <c r="Y9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30" i="1"/>
  <c r="D20" i="1"/>
  <c r="D21" i="1"/>
  <c r="E20" i="1"/>
  <c r="E21" i="1"/>
  <c r="E31" i="1"/>
  <c r="E32" i="1"/>
  <c r="E34" i="1"/>
  <c r="N20" i="1"/>
  <c r="N21" i="1"/>
  <c r="N31" i="1"/>
  <c r="N32" i="1"/>
  <c r="N34" i="1"/>
  <c r="O20" i="1"/>
  <c r="O21" i="1"/>
  <c r="O31" i="1"/>
  <c r="O32" i="1"/>
  <c r="O34" i="1"/>
  <c r="P20" i="1"/>
  <c r="P21" i="1"/>
  <c r="P31" i="1"/>
  <c r="P32" i="1"/>
  <c r="P34" i="1"/>
  <c r="Q20" i="1"/>
  <c r="Q21" i="1"/>
  <c r="Q31" i="1"/>
  <c r="Q32" i="1"/>
  <c r="Q34" i="1"/>
  <c r="R20" i="1"/>
  <c r="R21" i="1"/>
  <c r="R31" i="1"/>
  <c r="R32" i="1"/>
  <c r="R34" i="1"/>
  <c r="S20" i="1"/>
  <c r="S21" i="1"/>
  <c r="S31" i="1"/>
  <c r="S32" i="1"/>
  <c r="S34" i="1"/>
  <c r="T20" i="1"/>
  <c r="T21" i="1"/>
  <c r="T31" i="1"/>
  <c r="T32" i="1"/>
  <c r="T34" i="1"/>
  <c r="U20" i="1"/>
  <c r="U21" i="1"/>
  <c r="U31" i="1"/>
  <c r="U32" i="1"/>
  <c r="U34" i="1"/>
  <c r="V20" i="1"/>
  <c r="V21" i="1"/>
  <c r="V31" i="1"/>
  <c r="V32" i="1"/>
  <c r="V34" i="1"/>
  <c r="W20" i="1"/>
  <c r="W21" i="1"/>
  <c r="W31" i="1"/>
  <c r="W32" i="1"/>
  <c r="W34" i="1"/>
  <c r="F20" i="1"/>
  <c r="F21" i="1"/>
  <c r="F31" i="1"/>
  <c r="F32" i="1"/>
  <c r="F34" i="1"/>
  <c r="G20" i="1"/>
  <c r="G21" i="1"/>
  <c r="G31" i="1"/>
  <c r="G32" i="1"/>
  <c r="G34" i="1"/>
  <c r="H20" i="1"/>
  <c r="H21" i="1"/>
  <c r="I20" i="1"/>
  <c r="I21" i="1"/>
  <c r="J20" i="1"/>
  <c r="J21" i="1"/>
  <c r="K20" i="1"/>
  <c r="K21" i="1"/>
  <c r="L20" i="1"/>
  <c r="L21" i="1"/>
  <c r="M20" i="1"/>
  <c r="M21" i="1"/>
  <c r="M31" i="1"/>
  <c r="M32" i="1"/>
  <c r="M34" i="1"/>
  <c r="X20" i="1"/>
  <c r="X21" i="1"/>
  <c r="X31" i="1"/>
  <c r="X32" i="1"/>
  <c r="X34" i="1"/>
  <c r="Y34" i="1"/>
  <c r="Y32" i="1"/>
  <c r="E44" i="3"/>
  <c r="F44" i="3"/>
  <c r="I44" i="3"/>
  <c r="J44" i="3"/>
  <c r="L44" i="3"/>
  <c r="M44" i="3"/>
  <c r="O44" i="3"/>
  <c r="AD9" i="1"/>
  <c r="AC9" i="1"/>
  <c r="AD8" i="1"/>
  <c r="AC8" i="1"/>
  <c r="Y27" i="1"/>
  <c r="Y28" i="1"/>
  <c r="Y21" i="1"/>
  <c r="Y25" i="1"/>
  <c r="Y20" i="1"/>
  <c r="Y24" i="1"/>
  <c r="Y29" i="1"/>
  <c r="Y17" i="1"/>
  <c r="Y16" i="1"/>
  <c r="Y31" i="1"/>
</calcChain>
</file>

<file path=xl/sharedStrings.xml><?xml version="1.0" encoding="utf-8"?>
<sst xmlns="http://schemas.openxmlformats.org/spreadsheetml/2006/main" count="466" uniqueCount="287">
  <si>
    <t>TANTIEMES</t>
  </si>
  <si>
    <t>Brantôme</t>
  </si>
  <si>
    <t>St Martin</t>
  </si>
  <si>
    <t>St Lazare</t>
  </si>
  <si>
    <t xml:space="preserve"> HLM</t>
  </si>
  <si>
    <t>3  SOCOPARs</t>
  </si>
  <si>
    <t>Gal.30.70</t>
  </si>
  <si>
    <t>Pass.Horl.N.</t>
  </si>
  <si>
    <t>Cascade</t>
  </si>
  <si>
    <t>Alarmes</t>
  </si>
  <si>
    <t>Bureaux</t>
  </si>
  <si>
    <t>Bat A</t>
  </si>
  <si>
    <t>Bat B</t>
  </si>
  <si>
    <t>Bat C</t>
  </si>
  <si>
    <t>Bat D</t>
  </si>
  <si>
    <t>Bat E</t>
  </si>
  <si>
    <t>Bat F</t>
  </si>
  <si>
    <t>Bat G</t>
  </si>
  <si>
    <t>Bat H</t>
  </si>
  <si>
    <t>Rés.Service</t>
  </si>
  <si>
    <t>Commun</t>
  </si>
  <si>
    <t>TOTAUX</t>
  </si>
  <si>
    <t>Lot 5107</t>
  </si>
  <si>
    <t>Lot 5109</t>
  </si>
  <si>
    <t>Lot 5104</t>
  </si>
  <si>
    <t>Lot 5105</t>
  </si>
  <si>
    <t>Lot 5106</t>
  </si>
  <si>
    <t>Lot 5123</t>
  </si>
  <si>
    <t>Lot 5144</t>
  </si>
  <si>
    <t>Lot 5139</t>
  </si>
  <si>
    <t>Lot 5145</t>
  </si>
  <si>
    <t>Lot 5146</t>
  </si>
  <si>
    <t>Lot 5140</t>
  </si>
  <si>
    <t>Lot 5141</t>
  </si>
  <si>
    <t>Lot 5153</t>
  </si>
  <si>
    <t>Détec.incendie</t>
  </si>
  <si>
    <t>Libellé</t>
  </si>
  <si>
    <t>Grille</t>
  </si>
  <si>
    <t>Selon L&amp;D</t>
  </si>
  <si>
    <t>Selon CRUH</t>
  </si>
  <si>
    <t>7/8 Bernard de Clai.</t>
  </si>
  <si>
    <t>184, St Martin</t>
  </si>
  <si>
    <t>Montants</t>
  </si>
  <si>
    <t>15 rue St Lazare</t>
  </si>
  <si>
    <t>GC SOCOPAR</t>
  </si>
  <si>
    <t>4, rue Brantôme</t>
  </si>
  <si>
    <t>Refacturation coutournant l'ASL</t>
  </si>
  <si>
    <t>Ss-total</t>
  </si>
  <si>
    <t>Total</t>
  </si>
  <si>
    <t>Resto.Service</t>
  </si>
  <si>
    <t>Reste des factures (non détaillées)</t>
  </si>
  <si>
    <t>REPARTITION DES CHARGES ASL A LA GESTION COMMUNE DES SOCOPARs 2, 3A ET 3B</t>
  </si>
  <si>
    <t>Sprinklers</t>
  </si>
  <si>
    <t>Detec.Inc.</t>
  </si>
  <si>
    <t>Totaux</t>
  </si>
  <si>
    <t>Charges Générales</t>
  </si>
  <si>
    <t>Spéciales SOCOPAR 2</t>
  </si>
  <si>
    <t>Spéciales SOCOPAR 3A</t>
  </si>
  <si>
    <t>Spéciales SOCOPAR 3B</t>
  </si>
  <si>
    <t>Rampes Parkings</t>
  </si>
  <si>
    <t>Esc./Asc. 1,2,5,6</t>
  </si>
  <si>
    <t>Esc./Asc. 4,3</t>
  </si>
  <si>
    <t>Esc./Asc. 7,8</t>
  </si>
  <si>
    <t>Asc. 6</t>
  </si>
  <si>
    <t xml:space="preserve"> Parking 22.10 (privé)</t>
  </si>
  <si>
    <t>Parking 24.80 (INDIGO)</t>
  </si>
  <si>
    <t>Parking 27.50 (privé)</t>
  </si>
  <si>
    <t>Monte-Charges 3</t>
  </si>
  <si>
    <t>Monte-Charges 1</t>
  </si>
  <si>
    <t>Monte-Charges 4</t>
  </si>
  <si>
    <t>Passage Horloge Sud</t>
  </si>
  <si>
    <t>Petits Commerces</t>
  </si>
  <si>
    <t>Eau Glacée (part. fixe)</t>
  </si>
  <si>
    <t>Air Hygiénique</t>
  </si>
  <si>
    <t>Groupe Electrogène</t>
  </si>
  <si>
    <t>Charges techniques</t>
  </si>
  <si>
    <t>E.U. /E.P.</t>
  </si>
  <si>
    <t>Hall St Martin</t>
  </si>
  <si>
    <t>Charges rues</t>
  </si>
  <si>
    <t>Sprinklers privatifs</t>
  </si>
  <si>
    <t>Flunch</t>
  </si>
  <si>
    <t>Cinémas MK2</t>
  </si>
  <si>
    <t>Compacteur</t>
  </si>
  <si>
    <t>Asc. 9</t>
  </si>
  <si>
    <t>Eau glacée f. variables</t>
  </si>
  <si>
    <t>Galerie 30.70 2ème T</t>
  </si>
  <si>
    <t>Espace Vit'Halles</t>
  </si>
  <si>
    <t>Réserves 2ème T</t>
  </si>
  <si>
    <t>Caves Résidence Service</t>
  </si>
  <si>
    <t>Ch.gestion cpteurs elec.</t>
  </si>
  <si>
    <t>Ch. RIA Leroy Merlin</t>
  </si>
  <si>
    <t>Ch.détec. incendie Leroy Merlin</t>
  </si>
  <si>
    <t>SOCOPARs</t>
  </si>
  <si>
    <t>L&amp;D</t>
  </si>
  <si>
    <t>Corrigé</t>
  </si>
  <si>
    <t>Grilles 999</t>
  </si>
  <si>
    <t>5108,5122
&amp; 5138</t>
  </si>
  <si>
    <t>AFFECTATION
DES FACTURES</t>
  </si>
  <si>
    <t>Ch.alarmes Leroy Merlin</t>
  </si>
  <si>
    <t>Eau glacée Frais Fixes (G49)</t>
  </si>
  <si>
    <t>Eau glacée Frais Variables (G50)</t>
  </si>
  <si>
    <t>CRUH</t>
  </si>
  <si>
    <t>Trop-perçu par l'ASL</t>
  </si>
  <si>
    <t>HLM</t>
  </si>
  <si>
    <t>Alarmes (2015)</t>
  </si>
  <si>
    <t>N°</t>
  </si>
  <si>
    <t>Copropriété</t>
  </si>
  <si>
    <t>Syndic</t>
  </si>
  <si>
    <t>Trop-perçu</t>
  </si>
  <si>
    <t>7, 8 rue Bernard de Clairvaux</t>
  </si>
  <si>
    <t>Immo France</t>
  </si>
  <si>
    <t>184 rue Saint-Martin</t>
  </si>
  <si>
    <t xml:space="preserve">Plisson - KMS </t>
  </si>
  <si>
    <t>15 rue Grenier Saint-Lazare</t>
  </si>
  <si>
    <t>Cabinet Balzac</t>
  </si>
  <si>
    <t>9 rue Brantôme</t>
  </si>
  <si>
    <t>50 rue Rambuteau</t>
  </si>
  <si>
    <t>Geralpha Gest.</t>
  </si>
  <si>
    <t>156 rue Saint-Martin</t>
  </si>
  <si>
    <t>160 rue Saint-Martin</t>
  </si>
  <si>
    <t>164 rue Saint-Martin</t>
  </si>
  <si>
    <t>168 rue Saint-Martin</t>
  </si>
  <si>
    <t>3, 5 rue Bernard de Clairvaux</t>
  </si>
  <si>
    <t>Dauchez</t>
  </si>
  <si>
    <t>HLM Erigère</t>
  </si>
  <si>
    <t>Batigère</t>
  </si>
  <si>
    <t>Bureaux, 4 rue Brantôme</t>
  </si>
  <si>
    <t>Sefal Property</t>
  </si>
  <si>
    <t>13/14/15</t>
  </si>
  <si>
    <t>SOCOPAR 2, 3A, 3B</t>
  </si>
  <si>
    <t xml:space="preserve">Loiselet </t>
  </si>
  <si>
    <t>TOTAL trop-perçu</t>
  </si>
  <si>
    <t>Drap de bain TTC 2015 modif Alarme SI+EF+chg Soco+RS+DI+ mise à jour 1 alarme ASL = 10 points et caméras immeubles.</t>
  </si>
  <si>
    <t xml:space="preserve"> </t>
  </si>
  <si>
    <t>Chauffage</t>
  </si>
  <si>
    <t>5108,5122,5138</t>
  </si>
  <si>
    <t>Grille SOCOPARs</t>
  </si>
  <si>
    <t>R.I.A.</t>
  </si>
  <si>
    <t>Detec.CO</t>
  </si>
  <si>
    <t>cpteurs elect.</t>
  </si>
  <si>
    <t>Grilles ASL</t>
  </si>
  <si>
    <t>ASLQH</t>
  </si>
  <si>
    <t xml:space="preserve">Grille ASL </t>
  </si>
  <si>
    <t>H80</t>
  </si>
  <si>
    <t>G 26</t>
  </si>
  <si>
    <t>H91</t>
  </si>
  <si>
    <t>G 39</t>
  </si>
  <si>
    <t>G.Electrogène</t>
  </si>
  <si>
    <t>H94</t>
  </si>
  <si>
    <t>G 41</t>
  </si>
  <si>
    <t>H97</t>
  </si>
  <si>
    <t>G 44</t>
  </si>
  <si>
    <t>Diff</t>
  </si>
  <si>
    <t>H111</t>
  </si>
  <si>
    <t>G 999</t>
  </si>
  <si>
    <t>Téléphone</t>
  </si>
  <si>
    <t>total G1</t>
  </si>
  <si>
    <t>Robinet Inc. Armé.</t>
  </si>
  <si>
    <t>Murs sol</t>
  </si>
  <si>
    <t>H64</t>
  </si>
  <si>
    <t>G 9</t>
  </si>
  <si>
    <t>Local Ger.</t>
  </si>
  <si>
    <t>H65</t>
  </si>
  <si>
    <t>G 11</t>
  </si>
  <si>
    <t>29/2/9 Transfo</t>
  </si>
  <si>
    <t>H66</t>
  </si>
  <si>
    <t>G 12</t>
  </si>
  <si>
    <t>29/2/11 Transfo</t>
  </si>
  <si>
    <t>H69</t>
  </si>
  <si>
    <t>G 15</t>
  </si>
  <si>
    <t>Cour Inacces.</t>
  </si>
  <si>
    <t>total G23</t>
  </si>
  <si>
    <t>ok</t>
  </si>
  <si>
    <t>Caniv. Tech.</t>
  </si>
  <si>
    <t>Brt Eaux froide</t>
  </si>
  <si>
    <t>H73</t>
  </si>
  <si>
    <t>G 20</t>
  </si>
  <si>
    <t>H74</t>
  </si>
  <si>
    <t>G 21</t>
  </si>
  <si>
    <t>Antenne</t>
  </si>
  <si>
    <t>H75</t>
  </si>
  <si>
    <t>G 22</t>
  </si>
  <si>
    <t>H77</t>
  </si>
  <si>
    <t>G 24</t>
  </si>
  <si>
    <t>Hall StMartin</t>
  </si>
  <si>
    <t>total G24</t>
  </si>
  <si>
    <t>Réseau EU EP</t>
  </si>
  <si>
    <t>Egoût Beaubourg</t>
  </si>
  <si>
    <t>Egoût Imp.Beau.</t>
  </si>
  <si>
    <t>verif calcul rues</t>
  </si>
  <si>
    <t>Rues</t>
  </si>
  <si>
    <t>Air Comprimé</t>
  </si>
  <si>
    <t>G23</t>
  </si>
  <si>
    <t>Jard.Cascade</t>
  </si>
  <si>
    <t>G24</t>
  </si>
  <si>
    <t>27.50 Transfo</t>
  </si>
  <si>
    <t>H72</t>
  </si>
  <si>
    <t>H76</t>
  </si>
  <si>
    <t>Chauf.3TB</t>
  </si>
  <si>
    <t>S/S ABC</t>
  </si>
  <si>
    <t>S/S DEF</t>
  </si>
  <si>
    <t>S/S GH</t>
  </si>
  <si>
    <t>H81</t>
  </si>
  <si>
    <t>local EF &amp; égout ABC</t>
  </si>
  <si>
    <t>Cour Maternelle</t>
  </si>
  <si>
    <t>Transfo.3TB H.</t>
  </si>
  <si>
    <t>Local EF &amp; égout DEF</t>
  </si>
  <si>
    <t>Pass Hor.Nord</t>
  </si>
  <si>
    <t>Détec. CO</t>
  </si>
  <si>
    <t>Transfo SGx 3B</t>
  </si>
  <si>
    <t>Video Imm ABCD</t>
  </si>
  <si>
    <t>Ch.alarmes As'eco</t>
  </si>
  <si>
    <t>Local EF &amp; égout GH-RS</t>
  </si>
  <si>
    <t>Gal.Tech.30.70</t>
  </si>
  <si>
    <t>Sacs Poubelle</t>
  </si>
  <si>
    <t>Alarme S/S 3B</t>
  </si>
  <si>
    <t>Gestion cpteurs élect.</t>
  </si>
  <si>
    <t>Ravalement.</t>
  </si>
  <si>
    <t>AFFECTATION DES FACTURES</t>
  </si>
  <si>
    <t xml:space="preserve">HLM 1,2,3,4 </t>
  </si>
  <si>
    <t>Renaissance</t>
  </si>
  <si>
    <t>Passage HN</t>
  </si>
  <si>
    <t>Alarme SS 3B</t>
  </si>
  <si>
    <t>Gal tech 30.70</t>
  </si>
  <si>
    <t>Eau glacée SOCOPARs frais fixe</t>
  </si>
  <si>
    <t>Eau glacée SOCOPARs frais variables</t>
  </si>
  <si>
    <t>S/Total</t>
  </si>
  <si>
    <t>Total corrigé</t>
  </si>
  <si>
    <t>total B.Clairvaux</t>
  </si>
  <si>
    <t>Appel LOISELET 2015</t>
  </si>
  <si>
    <t>TROP-PERCU</t>
  </si>
  <si>
    <t>7/8 B. de Clairvaux</t>
  </si>
  <si>
    <t>184  St-Martin</t>
  </si>
  <si>
    <t>15 Gr. St-Lazare</t>
  </si>
  <si>
    <t>3 SOCOPARs</t>
  </si>
  <si>
    <t>BEAUBOURG</t>
  </si>
  <si>
    <t>9 Brantôme</t>
  </si>
  <si>
    <t>50 Rambuteau</t>
  </si>
  <si>
    <t>156 St-Martin</t>
  </si>
  <si>
    <t>160 St-Martin</t>
  </si>
  <si>
    <t>164 St-Martin</t>
  </si>
  <si>
    <t>168 St-Martin</t>
  </si>
  <si>
    <t>3 B. de Clairvaux</t>
  </si>
  <si>
    <t>5 B. de Clairvaux</t>
  </si>
  <si>
    <t>Total 3/5 B. de Clairvaux</t>
  </si>
  <si>
    <t>CHARGES SOCOPAR :</t>
  </si>
  <si>
    <t>Eau glacée</t>
  </si>
  <si>
    <t>Les factures de sécurité incendie sont glissées dans la Grille N°6. Au lieu du fonctionnement, Grille N°5.</t>
  </si>
  <si>
    <t xml:space="preserve">Valeur du point d'alarme </t>
  </si>
  <si>
    <t>Modifications par le Collectif d'Habitants</t>
  </si>
  <si>
    <t>TOTAL TROP-PERCU HABITATIONS</t>
  </si>
  <si>
    <t>Contrat Surveillance</t>
  </si>
  <si>
    <t>1 point d'alarme de fonctionnement (Grille N°5) =</t>
  </si>
  <si>
    <t>Charges corrigées (selon formules)</t>
  </si>
  <si>
    <t>MOINS-PERCU 3 SOCOPARs ( Quote-part 1 Mio)</t>
  </si>
  <si>
    <t>Employés de sécurité</t>
  </si>
  <si>
    <t>1 point d'alarme de sécurité incendie (Grille N°6) =</t>
  </si>
  <si>
    <t>Appel de charges 2015 proposés par LOISELET</t>
  </si>
  <si>
    <t>MOINS-PERCU BUREAUX BEAUBOURG</t>
  </si>
  <si>
    <t>Charges sociales</t>
  </si>
  <si>
    <t>Calcul du trop-perçu 2015</t>
  </si>
  <si>
    <t>Autres charges salariales</t>
  </si>
  <si>
    <r>
      <t xml:space="preserve"> </t>
    </r>
    <r>
      <rPr>
        <u/>
        <sz val="11"/>
        <rFont val="Times New Roman"/>
        <family val="1"/>
      </rPr>
      <t xml:space="preserve"> </t>
    </r>
  </si>
  <si>
    <t>TOTAL</t>
  </si>
  <si>
    <t>Charges SOCOPARs facturation directe qui doit être soumise à l'art. 999. (frais de gestion ASL).</t>
  </si>
  <si>
    <t xml:space="preserve">Facturation directe </t>
  </si>
  <si>
    <t xml:space="preserve">Fonctionnement </t>
  </si>
  <si>
    <t>à Réintégrer</t>
  </si>
  <si>
    <t xml:space="preserve">Socopars </t>
  </si>
  <si>
    <t>Valeur du point alarme (Grille N°5)</t>
  </si>
  <si>
    <t>Valeur du point incendie (Grille N°6)</t>
  </si>
  <si>
    <t>Total HLM</t>
  </si>
  <si>
    <t>Total Batiment GH</t>
  </si>
  <si>
    <t>Mauvaise répartition au sein des SOCOPARs</t>
  </si>
  <si>
    <t>Total mal réparti au sein des SOCOPARs:</t>
  </si>
  <si>
    <t>ASL</t>
  </si>
  <si>
    <t xml:space="preserve">TABLEAU 1 </t>
  </si>
  <si>
    <t xml:space="preserve">TABLEAU 2 </t>
  </si>
  <si>
    <t>TABLEAU 3</t>
  </si>
  <si>
    <t>Tableau 1 (ASL) Nbre. Points</t>
  </si>
  <si>
    <t xml:space="preserve">P.U. point </t>
  </si>
  <si>
    <t xml:space="preserve">"DRAP DE BAIN" 2015 -  CHARGES ASL </t>
  </si>
  <si>
    <t>A = B - C</t>
  </si>
  <si>
    <t>B</t>
  </si>
  <si>
    <t>C</t>
  </si>
  <si>
    <t>TOTAL charges de l'ASLQH</t>
  </si>
  <si>
    <t>Proposé par L&amp;D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</si>
</sst>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/yy\ h:mm"/>
    <numFmt numFmtId="165" formatCode="0.0%"/>
    <numFmt numFmtId="166" formatCode="_-* #,##0\ [$€-40C]_-;\-* #,##0\ [$€-40C]_-;_-* &quot;-&quot;??\ [$€-40C]_-;_-@_-"/>
    <numFmt numFmtId="168" formatCode="_-* #,##0\ &quot;€&quot;_-;\-* #,##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u/>
      <sz val="10"/>
      <color theme="1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3" fontId="2" fillId="0" borderId="0" xfId="0" applyNumberFormat="1" applyFont="1"/>
    <xf numFmtId="0" fontId="2" fillId="2" borderId="3" xfId="0" applyFont="1" applyFill="1" applyBorder="1" applyAlignment="1"/>
    <xf numFmtId="3" fontId="2" fillId="2" borderId="4" xfId="0" applyNumberFormat="1" applyFont="1" applyFill="1" applyBorder="1"/>
    <xf numFmtId="0" fontId="2" fillId="2" borderId="6" xfId="0" applyFont="1" applyFill="1" applyBorder="1"/>
    <xf numFmtId="3" fontId="2" fillId="2" borderId="7" xfId="0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/>
    <xf numFmtId="3" fontId="2" fillId="3" borderId="4" xfId="0" applyNumberFormat="1" applyFont="1" applyFill="1" applyBorder="1"/>
    <xf numFmtId="3" fontId="2" fillId="3" borderId="7" xfId="0" applyNumberFormat="1" applyFont="1" applyFill="1" applyBorder="1"/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8" xfId="0" applyFont="1" applyFill="1" applyBorder="1" applyAlignment="1"/>
    <xf numFmtId="0" fontId="2" fillId="0" borderId="7" xfId="0" applyFont="1" applyFill="1" applyBorder="1" applyAlignment="1"/>
    <xf numFmtId="3" fontId="2" fillId="0" borderId="0" xfId="0" applyNumberFormat="1" applyFont="1" applyBorder="1"/>
    <xf numFmtId="0" fontId="2" fillId="0" borderId="0" xfId="0" applyFont="1" applyBorder="1"/>
    <xf numFmtId="0" fontId="2" fillId="3" borderId="3" xfId="0" applyFont="1" applyFill="1" applyBorder="1"/>
    <xf numFmtId="0" fontId="2" fillId="3" borderId="6" xfId="0" applyFont="1" applyFill="1" applyBorder="1"/>
    <xf numFmtId="0" fontId="1" fillId="0" borderId="11" xfId="0" applyFont="1" applyBorder="1" applyAlignment="1">
      <alignment horizontal="right"/>
    </xf>
    <xf numFmtId="0" fontId="1" fillId="0" borderId="0" xfId="0" applyFont="1" applyBorder="1"/>
    <xf numFmtId="6" fontId="2" fillId="2" borderId="4" xfId="0" applyNumberFormat="1" applyFont="1" applyFill="1" applyBorder="1"/>
    <xf numFmtId="6" fontId="2" fillId="3" borderId="4" xfId="0" applyNumberFormat="1" applyFont="1" applyFill="1" applyBorder="1"/>
    <xf numFmtId="6" fontId="2" fillId="0" borderId="0" xfId="0" applyNumberFormat="1" applyFont="1"/>
    <xf numFmtId="6" fontId="2" fillId="2" borderId="7" xfId="0" applyNumberFormat="1" applyFont="1" applyFill="1" applyBorder="1"/>
    <xf numFmtId="6" fontId="2" fillId="3" borderId="7" xfId="0" applyNumberFormat="1" applyFont="1" applyFill="1" applyBorder="1"/>
    <xf numFmtId="6" fontId="2" fillId="0" borderId="0" xfId="0" applyNumberFormat="1" applyFont="1" applyFill="1" applyBorder="1"/>
    <xf numFmtId="6" fontId="2" fillId="3" borderId="9" xfId="0" applyNumberFormat="1" applyFont="1" applyFill="1" applyBorder="1"/>
    <xf numFmtId="6" fontId="2" fillId="0" borderId="0" xfId="0" applyNumberFormat="1" applyFont="1" applyFill="1"/>
    <xf numFmtId="6" fontId="2" fillId="3" borderId="2" xfId="0" applyNumberFormat="1" applyFont="1" applyFill="1" applyBorder="1" applyAlignment="1"/>
    <xf numFmtId="6" fontId="2" fillId="3" borderId="5" xfId="0" applyNumberFormat="1" applyFont="1" applyFill="1" applyBorder="1"/>
    <xf numFmtId="6" fontId="2" fillId="3" borderId="8" xfId="0" applyNumberFormat="1" applyFont="1" applyFill="1" applyBorder="1"/>
    <xf numFmtId="6" fontId="2" fillId="2" borderId="12" xfId="0" applyNumberFormat="1" applyFont="1" applyFill="1" applyBorder="1" applyAlignment="1"/>
    <xf numFmtId="6" fontId="1" fillId="0" borderId="0" xfId="0" applyNumberFormat="1" applyFont="1"/>
    <xf numFmtId="0" fontId="2" fillId="0" borderId="11" xfId="0" applyFont="1" applyFill="1" applyBorder="1" applyAlignment="1"/>
    <xf numFmtId="0" fontId="2" fillId="0" borderId="12" xfId="0" applyFont="1" applyFill="1" applyBorder="1" applyAlignment="1"/>
    <xf numFmtId="6" fontId="2" fillId="3" borderId="0" xfId="0" applyNumberFormat="1" applyFont="1" applyFill="1" applyBorder="1"/>
    <xf numFmtId="0" fontId="2" fillId="2" borderId="8" xfId="0" applyFont="1" applyFill="1" applyBorder="1"/>
    <xf numFmtId="0" fontId="4" fillId="0" borderId="0" xfId="0" applyFont="1"/>
    <xf numFmtId="4" fontId="2" fillId="0" borderId="0" xfId="0" applyNumberFormat="1" applyFont="1"/>
    <xf numFmtId="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6" fontId="1" fillId="2" borderId="2" xfId="0" applyNumberFormat="1" applyFont="1" applyFill="1" applyBorder="1" applyAlignment="1">
      <alignment horizontal="center" vertical="center"/>
    </xf>
    <xf numFmtId="6" fontId="1" fillId="0" borderId="0" xfId="0" applyNumberFormat="1" applyFont="1" applyAlignment="1">
      <alignment horizontal="center"/>
    </xf>
    <xf numFmtId="6" fontId="1" fillId="2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6" fontId="1" fillId="0" borderId="0" xfId="0" applyNumberFormat="1" applyFont="1" applyFill="1" applyBorder="1"/>
    <xf numFmtId="3" fontId="1" fillId="0" borderId="0" xfId="0" applyNumberFormat="1" applyFont="1"/>
    <xf numFmtId="0" fontId="3" fillId="0" borderId="0" xfId="0" applyFont="1"/>
    <xf numFmtId="6" fontId="3" fillId="0" borderId="0" xfId="0" applyNumberFormat="1" applyFont="1"/>
    <xf numFmtId="0" fontId="2" fillId="3" borderId="0" xfId="0" applyFont="1" applyFill="1"/>
    <xf numFmtId="0" fontId="2" fillId="3" borderId="0" xfId="0" applyFont="1" applyFill="1" applyBorder="1"/>
    <xf numFmtId="6" fontId="2" fillId="3" borderId="0" xfId="0" applyNumberFormat="1" applyFont="1" applyFill="1"/>
    <xf numFmtId="0" fontId="0" fillId="3" borderId="0" xfId="0" applyFill="1"/>
    <xf numFmtId="6" fontId="3" fillId="3" borderId="0" xfId="0" applyNumberFormat="1" applyFont="1" applyFill="1"/>
    <xf numFmtId="0" fontId="1" fillId="3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6" fontId="1" fillId="0" borderId="16" xfId="0" applyNumberFormat="1" applyFont="1" applyBorder="1"/>
    <xf numFmtId="6" fontId="1" fillId="0" borderId="13" xfId="0" applyNumberFormat="1" applyFont="1" applyBorder="1"/>
    <xf numFmtId="6" fontId="1" fillId="0" borderId="14" xfId="0" applyNumberFormat="1" applyFont="1" applyBorder="1"/>
    <xf numFmtId="6" fontId="1" fillId="0" borderId="15" xfId="0" applyNumberFormat="1" applyFont="1" applyBorder="1"/>
    <xf numFmtId="0" fontId="2" fillId="3" borderId="5" xfId="0" applyFont="1" applyFill="1" applyBorder="1"/>
    <xf numFmtId="0" fontId="2" fillId="3" borderId="1" xfId="0" applyFont="1" applyFill="1" applyBorder="1" applyAlignment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6" borderId="1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0" xfId="0" applyFont="1"/>
    <xf numFmtId="0" fontId="5" fillId="3" borderId="17" xfId="0" applyFont="1" applyFill="1" applyBorder="1" applyAlignment="1">
      <alignment horizontal="left"/>
    </xf>
    <xf numFmtId="0" fontId="2" fillId="3" borderId="9" xfId="0" applyFont="1" applyFill="1" applyBorder="1"/>
    <xf numFmtId="6" fontId="1" fillId="3" borderId="9" xfId="0" applyNumberFormat="1" applyFont="1" applyFill="1" applyBorder="1"/>
    <xf numFmtId="0" fontId="8" fillId="0" borderId="0" xfId="0" applyFont="1" applyFill="1"/>
    <xf numFmtId="164" fontId="2" fillId="0" borderId="0" xfId="0" applyNumberFormat="1" applyFont="1" applyFill="1"/>
    <xf numFmtId="0" fontId="2" fillId="2" borderId="9" xfId="0" applyFont="1" applyFill="1" applyBorder="1"/>
    <xf numFmtId="0" fontId="2" fillId="2" borderId="2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33" xfId="0" applyFont="1" applyBorder="1"/>
    <xf numFmtId="3" fontId="2" fillId="0" borderId="34" xfId="0" applyNumberFormat="1" applyFont="1" applyBorder="1"/>
    <xf numFmtId="3" fontId="2" fillId="0" borderId="0" xfId="0" applyNumberFormat="1" applyFont="1" applyFill="1"/>
    <xf numFmtId="0" fontId="2" fillId="0" borderId="35" xfId="0" applyFont="1" applyBorder="1"/>
    <xf numFmtId="3" fontId="2" fillId="0" borderId="36" xfId="0" applyNumberFormat="1" applyFont="1" applyBorder="1"/>
    <xf numFmtId="0" fontId="2" fillId="8" borderId="1" xfId="0" applyFont="1" applyFill="1" applyBorder="1"/>
    <xf numFmtId="3" fontId="2" fillId="8" borderId="2" xfId="0" applyNumberFormat="1" applyFont="1" applyFill="1" applyBorder="1"/>
    <xf numFmtId="0" fontId="2" fillId="8" borderId="10" xfId="0" applyFont="1" applyFill="1" applyBorder="1"/>
    <xf numFmtId="3" fontId="2" fillId="8" borderId="10" xfId="0" applyNumberFormat="1" applyFont="1" applyFill="1" applyBorder="1"/>
    <xf numFmtId="0" fontId="2" fillId="0" borderId="36" xfId="0" applyFont="1" applyBorder="1" applyAlignment="1">
      <alignment horizontal="right"/>
    </xf>
    <xf numFmtId="0" fontId="2" fillId="0" borderId="37" xfId="0" applyFont="1" applyBorder="1"/>
    <xf numFmtId="0" fontId="2" fillId="0" borderId="38" xfId="0" applyFont="1" applyBorder="1"/>
    <xf numFmtId="0" fontId="2" fillId="8" borderId="39" xfId="0" applyFont="1" applyFill="1" applyBorder="1"/>
    <xf numFmtId="0" fontId="2" fillId="8" borderId="3" xfId="0" applyFont="1" applyFill="1" applyBorder="1"/>
    <xf numFmtId="3" fontId="2" fillId="8" borderId="5" xfId="0" applyNumberFormat="1" applyFont="1" applyFill="1" applyBorder="1"/>
    <xf numFmtId="0" fontId="2" fillId="8" borderId="22" xfId="0" applyFont="1" applyFill="1" applyBorder="1"/>
    <xf numFmtId="0" fontId="2" fillId="8" borderId="6" xfId="0" applyFont="1" applyFill="1" applyBorder="1"/>
    <xf numFmtId="3" fontId="2" fillId="8" borderId="8" xfId="0" applyNumberFormat="1" applyFont="1" applyFill="1" applyBorder="1"/>
    <xf numFmtId="0" fontId="2" fillId="8" borderId="2" xfId="0" applyFont="1" applyFill="1" applyBorder="1"/>
    <xf numFmtId="0" fontId="1" fillId="8" borderId="1" xfId="0" applyFont="1" applyFill="1" applyBorder="1"/>
    <xf numFmtId="3" fontId="1" fillId="8" borderId="2" xfId="0" applyNumberFormat="1" applyFont="1" applyFill="1" applyBorder="1"/>
    <xf numFmtId="164" fontId="2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/>
    <xf numFmtId="0" fontId="2" fillId="0" borderId="3" xfId="0" applyFont="1" applyBorder="1"/>
    <xf numFmtId="3" fontId="2" fillId="0" borderId="4" xfId="0" applyNumberFormat="1" applyFont="1" applyBorder="1"/>
    <xf numFmtId="165" fontId="1" fillId="8" borderId="1" xfId="3" applyNumberFormat="1" applyFont="1" applyFill="1" applyBorder="1"/>
    <xf numFmtId="165" fontId="1" fillId="8" borderId="9" xfId="3" applyNumberFormat="1" applyFont="1" applyFill="1" applyBorder="1"/>
    <xf numFmtId="165" fontId="1" fillId="8" borderId="2" xfId="3" applyNumberFormat="1" applyFont="1" applyFill="1" applyBorder="1"/>
    <xf numFmtId="0" fontId="2" fillId="0" borderId="11" xfId="0" applyFont="1" applyBorder="1"/>
    <xf numFmtId="3" fontId="2" fillId="0" borderId="0" xfId="0" applyNumberFormat="1" applyFont="1" applyFill="1" applyBorder="1"/>
    <xf numFmtId="3" fontId="2" fillId="0" borderId="12" xfId="0" applyNumberFormat="1" applyFont="1" applyBorder="1"/>
    <xf numFmtId="166" fontId="1" fillId="8" borderId="9" xfId="0" applyNumberFormat="1" applyFont="1" applyFill="1" applyBorder="1"/>
    <xf numFmtId="166" fontId="1" fillId="8" borderId="2" xfId="0" applyNumberFormat="1" applyFont="1" applyFill="1" applyBorder="1"/>
    <xf numFmtId="3" fontId="1" fillId="0" borderId="0" xfId="0" applyNumberFormat="1" applyFont="1" applyFill="1" applyBorder="1"/>
    <xf numFmtId="0" fontId="1" fillId="9" borderId="1" xfId="0" applyFont="1" applyFill="1" applyBorder="1"/>
    <xf numFmtId="3" fontId="2" fillId="9" borderId="9" xfId="0" applyNumberFormat="1" applyFont="1" applyFill="1" applyBorder="1"/>
    <xf numFmtId="166" fontId="1" fillId="9" borderId="9" xfId="0" applyNumberFormat="1" applyFont="1" applyFill="1" applyBorder="1"/>
    <xf numFmtId="166" fontId="1" fillId="9" borderId="40" xfId="0" applyNumberFormat="1" applyFont="1" applyFill="1" applyBorder="1"/>
    <xf numFmtId="166" fontId="1" fillId="9" borderId="20" xfId="0" applyNumberFormat="1" applyFont="1" applyFill="1" applyBorder="1"/>
    <xf numFmtId="166" fontId="1" fillId="0" borderId="40" xfId="0" applyNumberFormat="1" applyFont="1" applyFill="1" applyBorder="1"/>
    <xf numFmtId="166" fontId="1" fillId="0" borderId="9" xfId="0" applyNumberFormat="1" applyFont="1" applyFill="1" applyBorder="1"/>
    <xf numFmtId="166" fontId="1" fillId="9" borderId="2" xfId="0" applyNumberFormat="1" applyFont="1" applyFill="1" applyBorder="1"/>
    <xf numFmtId="0" fontId="1" fillId="6" borderId="1" xfId="0" applyFont="1" applyFill="1" applyBorder="1"/>
    <xf numFmtId="3" fontId="2" fillId="6" borderId="9" xfId="0" applyNumberFormat="1" applyFont="1" applyFill="1" applyBorder="1"/>
    <xf numFmtId="166" fontId="1" fillId="6" borderId="1" xfId="0" applyNumberFormat="1" applyFont="1" applyFill="1" applyBorder="1"/>
    <xf numFmtId="166" fontId="1" fillId="6" borderId="9" xfId="0" applyNumberFormat="1" applyFont="1" applyFill="1" applyBorder="1"/>
    <xf numFmtId="166" fontId="1" fillId="6" borderId="2" xfId="0" applyNumberFormat="1" applyFont="1" applyFill="1" applyBorder="1"/>
    <xf numFmtId="166" fontId="1" fillId="6" borderId="10" xfId="0" applyNumberFormat="1" applyFont="1" applyFill="1" applyBorder="1"/>
    <xf numFmtId="166" fontId="1" fillId="0" borderId="2" xfId="0" applyNumberFormat="1" applyFont="1" applyFill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Fill="1" applyAlignment="1">
      <alignment horizontal="right"/>
    </xf>
    <xf numFmtId="166" fontId="2" fillId="0" borderId="0" xfId="0" applyNumberFormat="1" applyFont="1"/>
    <xf numFmtId="4" fontId="2" fillId="0" borderId="0" xfId="0" applyNumberFormat="1" applyFont="1" applyFill="1"/>
    <xf numFmtId="4" fontId="11" fillId="0" borderId="0" xfId="0" applyNumberFormat="1" applyFont="1"/>
    <xf numFmtId="0" fontId="2" fillId="2" borderId="13" xfId="0" applyFont="1" applyFill="1" applyBorder="1"/>
    <xf numFmtId="0" fontId="2" fillId="3" borderId="41" xfId="0" applyFont="1" applyFill="1" applyBorder="1"/>
    <xf numFmtId="0" fontId="2" fillId="3" borderId="42" xfId="0" applyFont="1" applyFill="1" applyBorder="1"/>
    <xf numFmtId="0" fontId="2" fillId="3" borderId="43" xfId="0" applyFont="1" applyFill="1" applyBorder="1"/>
    <xf numFmtId="4" fontId="1" fillId="3" borderId="1" xfId="0" applyNumberFormat="1" applyFont="1" applyFill="1" applyBorder="1"/>
    <xf numFmtId="0" fontId="1" fillId="3" borderId="9" xfId="0" applyFont="1" applyFill="1" applyBorder="1"/>
    <xf numFmtId="4" fontId="1" fillId="3" borderId="9" xfId="0" applyNumberFormat="1" applyFont="1" applyFill="1" applyBorder="1"/>
    <xf numFmtId="4" fontId="1" fillId="3" borderId="2" xfId="0" applyNumberFormat="1" applyFont="1" applyFill="1" applyBorder="1"/>
    <xf numFmtId="0" fontId="1" fillId="8" borderId="15" xfId="0" applyFont="1" applyFill="1" applyBorder="1"/>
    <xf numFmtId="0" fontId="2" fillId="3" borderId="45" xfId="0" applyFont="1" applyFill="1" applyBorder="1"/>
    <xf numFmtId="0" fontId="2" fillId="3" borderId="46" xfId="0" applyFont="1" applyFill="1" applyBorder="1"/>
    <xf numFmtId="0" fontId="2" fillId="3" borderId="47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9" borderId="49" xfId="0" applyFont="1" applyFill="1" applyBorder="1"/>
    <xf numFmtId="0" fontId="2" fillId="3" borderId="37" xfId="0" applyFont="1" applyFill="1" applyBorder="1"/>
    <xf numFmtId="0" fontId="2" fillId="3" borderId="50" xfId="0" applyFont="1" applyFill="1" applyBorder="1"/>
    <xf numFmtId="0" fontId="2" fillId="3" borderId="51" xfId="0" applyFont="1" applyFill="1" applyBorder="1"/>
    <xf numFmtId="0" fontId="12" fillId="0" borderId="0" xfId="0" applyFont="1" applyAlignment="1">
      <alignment vertical="center"/>
    </xf>
    <xf numFmtId="0" fontId="1" fillId="6" borderId="15" xfId="0" applyFont="1" applyFill="1" applyBorder="1"/>
    <xf numFmtId="0" fontId="1" fillId="10" borderId="1" xfId="0" applyFont="1" applyFill="1" applyBorder="1"/>
    <xf numFmtId="3" fontId="1" fillId="10" borderId="2" xfId="0" applyNumberFormat="1" applyFont="1" applyFill="1" applyBorder="1"/>
    <xf numFmtId="3" fontId="2" fillId="10" borderId="10" xfId="0" applyNumberFormat="1" applyFont="1" applyFill="1" applyBorder="1"/>
    <xf numFmtId="0" fontId="1" fillId="10" borderId="1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center" textRotation="60"/>
    </xf>
    <xf numFmtId="3" fontId="1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1" fillId="0" borderId="12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3" fontId="1" fillId="0" borderId="8" xfId="0" applyNumberFormat="1" applyFont="1" applyBorder="1"/>
    <xf numFmtId="0" fontId="1" fillId="0" borderId="0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6" fontId="1" fillId="0" borderId="12" xfId="0" applyNumberFormat="1" applyFont="1" applyBorder="1"/>
    <xf numFmtId="6" fontId="2" fillId="0" borderId="0" xfId="0" applyNumberFormat="1" applyFont="1" applyBorder="1"/>
    <xf numFmtId="6" fontId="1" fillId="0" borderId="12" xfId="0" applyNumberFormat="1" applyFont="1" applyFill="1" applyBorder="1"/>
    <xf numFmtId="6" fontId="2" fillId="0" borderId="7" xfId="0" applyNumberFormat="1" applyFont="1" applyBorder="1"/>
    <xf numFmtId="6" fontId="1" fillId="0" borderId="8" xfId="0" applyNumberFormat="1" applyFont="1" applyBorder="1"/>
    <xf numFmtId="0" fontId="2" fillId="10" borderId="3" xfId="0" applyFont="1" applyFill="1" applyBorder="1" applyAlignment="1"/>
    <xf numFmtId="0" fontId="2" fillId="10" borderId="4" xfId="0" applyFont="1" applyFill="1" applyBorder="1"/>
    <xf numFmtId="3" fontId="2" fillId="10" borderId="4" xfId="0" applyNumberFormat="1" applyFont="1" applyFill="1" applyBorder="1"/>
    <xf numFmtId="3" fontId="2" fillId="10" borderId="5" xfId="0" applyNumberFormat="1" applyFont="1" applyFill="1" applyBorder="1"/>
    <xf numFmtId="0" fontId="2" fillId="10" borderId="6" xfId="0" applyFont="1" applyFill="1" applyBorder="1"/>
    <xf numFmtId="0" fontId="2" fillId="10" borderId="7" xfId="0" applyFont="1" applyFill="1" applyBorder="1"/>
    <xf numFmtId="3" fontId="2" fillId="10" borderId="7" xfId="0" applyNumberFormat="1" applyFont="1" applyFill="1" applyBorder="1"/>
    <xf numFmtId="3" fontId="2" fillId="10" borderId="8" xfId="0" applyNumberFormat="1" applyFont="1" applyFill="1" applyBorder="1"/>
    <xf numFmtId="0" fontId="1" fillId="10" borderId="2" xfId="0" applyFont="1" applyFill="1" applyBorder="1"/>
    <xf numFmtId="0" fontId="1" fillId="10" borderId="10" xfId="0" applyFont="1" applyFill="1" applyBorder="1"/>
    <xf numFmtId="0" fontId="2" fillId="10" borderId="3" xfId="0" applyFont="1" applyFill="1" applyBorder="1"/>
    <xf numFmtId="0" fontId="2" fillId="10" borderId="11" xfId="0" applyFont="1" applyFill="1" applyBorder="1"/>
    <xf numFmtId="3" fontId="2" fillId="10" borderId="12" xfId="0" applyNumberFormat="1" applyFont="1" applyFill="1" applyBorder="1"/>
    <xf numFmtId="0" fontId="1" fillId="10" borderId="9" xfId="0" applyFont="1" applyFill="1" applyBorder="1"/>
    <xf numFmtId="0" fontId="2" fillId="10" borderId="9" xfId="0" applyFont="1" applyFill="1" applyBorder="1"/>
    <xf numFmtId="0" fontId="2" fillId="10" borderId="2" xfId="0" applyFont="1" applyFill="1" applyBorder="1"/>
    <xf numFmtId="0" fontId="12" fillId="10" borderId="4" xfId="0" applyFont="1" applyFill="1" applyBorder="1" applyAlignment="1">
      <alignment vertical="center"/>
    </xf>
    <xf numFmtId="0" fontId="0" fillId="10" borderId="4" xfId="0" applyFill="1" applyBorder="1"/>
    <xf numFmtId="3" fontId="12" fillId="10" borderId="4" xfId="1" applyNumberFormat="1" applyFont="1" applyFill="1" applyBorder="1" applyAlignment="1">
      <alignment vertical="center"/>
    </xf>
    <xf numFmtId="0" fontId="0" fillId="10" borderId="5" xfId="0" applyFill="1" applyBorder="1"/>
    <xf numFmtId="0" fontId="10" fillId="10" borderId="11" xfId="0" applyFont="1" applyFill="1" applyBorder="1"/>
    <xf numFmtId="0" fontId="12" fillId="10" borderId="0" xfId="0" applyFont="1" applyFill="1" applyBorder="1" applyAlignment="1">
      <alignment vertical="center"/>
    </xf>
    <xf numFmtId="0" fontId="0" fillId="10" borderId="0" xfId="0" applyFill="1" applyBorder="1"/>
    <xf numFmtId="3" fontId="12" fillId="10" borderId="0" xfId="1" applyNumberFormat="1" applyFont="1" applyFill="1" applyBorder="1" applyAlignment="1">
      <alignment vertical="center"/>
    </xf>
    <xf numFmtId="0" fontId="0" fillId="10" borderId="12" xfId="0" applyFill="1" applyBorder="1"/>
    <xf numFmtId="3" fontId="12" fillId="10" borderId="0" xfId="0" applyNumberFormat="1" applyFont="1" applyFill="1" applyBorder="1" applyAlignment="1">
      <alignment vertical="center"/>
    </xf>
    <xf numFmtId="0" fontId="12" fillId="10" borderId="12" xfId="0" applyFont="1" applyFill="1" applyBorder="1" applyAlignment="1">
      <alignment vertical="center"/>
    </xf>
    <xf numFmtId="0" fontId="13" fillId="10" borderId="0" xfId="0" applyFont="1" applyFill="1" applyBorder="1" applyAlignment="1">
      <alignment vertical="center"/>
    </xf>
    <xf numFmtId="3" fontId="13" fillId="10" borderId="0" xfId="1" applyNumberFormat="1" applyFont="1" applyFill="1" applyBorder="1" applyAlignment="1">
      <alignment vertical="center"/>
    </xf>
    <xf numFmtId="3" fontId="2" fillId="10" borderId="4" xfId="1" applyNumberFormat="1" applyFont="1" applyFill="1" applyBorder="1"/>
    <xf numFmtId="0" fontId="2" fillId="10" borderId="5" xfId="0" applyFont="1" applyFill="1" applyBorder="1"/>
    <xf numFmtId="0" fontId="2" fillId="10" borderId="0" xfId="0" applyFont="1" applyFill="1" applyBorder="1"/>
    <xf numFmtId="3" fontId="14" fillId="10" borderId="0" xfId="1" applyNumberFormat="1" applyFont="1" applyFill="1" applyBorder="1"/>
    <xf numFmtId="0" fontId="2" fillId="10" borderId="12" xfId="0" applyFont="1" applyFill="1" applyBorder="1"/>
    <xf numFmtId="0" fontId="2" fillId="10" borderId="8" xfId="0" applyFont="1" applyFill="1" applyBorder="1"/>
    <xf numFmtId="0" fontId="1" fillId="10" borderId="13" xfId="0" applyFont="1" applyFill="1" applyBorder="1"/>
    <xf numFmtId="4" fontId="1" fillId="10" borderId="44" xfId="0" applyNumberFormat="1" applyFont="1" applyFill="1" applyBorder="1"/>
    <xf numFmtId="0" fontId="1" fillId="10" borderId="44" xfId="0" applyFont="1" applyFill="1" applyBorder="1"/>
    <xf numFmtId="166" fontId="1" fillId="10" borderId="14" xfId="0" applyNumberFormat="1" applyFont="1" applyFill="1" applyBorder="1"/>
    <xf numFmtId="0" fontId="1" fillId="10" borderId="15" xfId="0" applyFont="1" applyFill="1" applyBorder="1"/>
    <xf numFmtId="0" fontId="1" fillId="10" borderId="48" xfId="0" applyFont="1" applyFill="1" applyBorder="1"/>
    <xf numFmtId="166" fontId="1" fillId="10" borderId="16" xfId="0" applyNumberFormat="1" applyFont="1" applyFill="1" applyBorder="1"/>
    <xf numFmtId="6" fontId="2" fillId="10" borderId="9" xfId="0" applyNumberFormat="1" applyFont="1" applyFill="1" applyBorder="1"/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6" fontId="1" fillId="3" borderId="0" xfId="0" applyNumberFormat="1" applyFont="1" applyFill="1"/>
    <xf numFmtId="6" fontId="1" fillId="3" borderId="40" xfId="0" applyNumberFormat="1" applyFont="1" applyFill="1" applyBorder="1"/>
    <xf numFmtId="6" fontId="1" fillId="3" borderId="20" xfId="0" applyNumberFormat="1" applyFont="1" applyFill="1" applyBorder="1"/>
    <xf numFmtId="6" fontId="1" fillId="10" borderId="1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66" fontId="2" fillId="0" borderId="0" xfId="2" applyNumberFormat="1" applyFont="1"/>
    <xf numFmtId="3" fontId="2" fillId="10" borderId="9" xfId="0" applyNumberFormat="1" applyFont="1" applyFill="1" applyBorder="1"/>
    <xf numFmtId="0" fontId="2" fillId="0" borderId="3" xfId="0" applyFont="1" applyFill="1" applyBorder="1"/>
    <xf numFmtId="3" fontId="2" fillId="0" borderId="4" xfId="0" applyNumberFormat="1" applyFont="1" applyFill="1" applyBorder="1"/>
    <xf numFmtId="0" fontId="2" fillId="0" borderId="4" xfId="0" applyFont="1" applyFill="1" applyBorder="1"/>
    <xf numFmtId="0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166" fontId="2" fillId="0" borderId="7" xfId="2" applyNumberFormat="1" applyFont="1" applyFill="1" applyBorder="1"/>
    <xf numFmtId="166" fontId="2" fillId="0" borderId="8" xfId="2" applyNumberFormat="1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20" xfId="0" applyFont="1" applyFill="1" applyBorder="1" applyAlignment="1"/>
    <xf numFmtId="0" fontId="1" fillId="0" borderId="29" xfId="0" applyFont="1" applyBorder="1" applyAlignment="1"/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1" fillId="5" borderId="4" xfId="0" applyFont="1" applyFill="1" applyBorder="1" applyAlignment="1">
      <alignment horizontal="center" textRotation="60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6" fontId="1" fillId="10" borderId="9" xfId="0" applyNumberFormat="1" applyFont="1" applyFill="1" applyBorder="1" applyAlignment="1">
      <alignment horizontal="right"/>
    </xf>
    <xf numFmtId="6" fontId="1" fillId="10" borderId="2" xfId="0" applyNumberFormat="1" applyFont="1" applyFill="1" applyBorder="1" applyAlignment="1">
      <alignment horizontal="right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3" fontId="15" fillId="7" borderId="3" xfId="0" applyNumberFormat="1" applyFont="1" applyFill="1" applyBorder="1" applyAlignment="1">
      <alignment horizontal="center" vertical="center"/>
    </xf>
    <xf numFmtId="3" fontId="15" fillId="7" borderId="4" xfId="0" applyNumberFormat="1" applyFont="1" applyFill="1" applyBorder="1" applyAlignment="1">
      <alignment horizontal="center" vertical="center"/>
    </xf>
    <xf numFmtId="3" fontId="15" fillId="7" borderId="5" xfId="0" applyNumberFormat="1" applyFont="1" applyFill="1" applyBorder="1" applyAlignment="1">
      <alignment horizontal="center" vertical="center"/>
    </xf>
    <xf numFmtId="3" fontId="15" fillId="7" borderId="6" xfId="0" applyNumberFormat="1" applyFont="1" applyFill="1" applyBorder="1" applyAlignment="1">
      <alignment horizontal="center" vertical="center"/>
    </xf>
    <xf numFmtId="3" fontId="15" fillId="7" borderId="7" xfId="0" applyNumberFormat="1" applyFont="1" applyFill="1" applyBorder="1" applyAlignment="1">
      <alignment horizontal="center" vertical="center"/>
    </xf>
    <xf numFmtId="3" fontId="15" fillId="7" borderId="8" xfId="0" applyNumberFormat="1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168" fontId="5" fillId="6" borderId="52" xfId="0" applyNumberFormat="1" applyFont="1" applyFill="1" applyBorder="1"/>
    <xf numFmtId="168" fontId="5" fillId="9" borderId="50" xfId="0" applyNumberFormat="1" applyFont="1" applyFill="1" applyBorder="1"/>
    <xf numFmtId="168" fontId="5" fillId="8" borderId="21" xfId="0" applyNumberFormat="1" applyFont="1" applyFill="1" applyBorder="1"/>
    <xf numFmtId="168" fontId="5" fillId="6" borderId="26" xfId="0" applyNumberFormat="1" applyFont="1" applyFill="1" applyBorder="1"/>
    <xf numFmtId="168" fontId="5" fillId="6" borderId="23" xfId="0" applyNumberFormat="1" applyFont="1" applyFill="1" applyBorder="1"/>
    <xf numFmtId="168" fontId="5" fillId="6" borderId="21" xfId="0" applyNumberFormat="1" applyFont="1" applyFill="1" applyBorder="1"/>
    <xf numFmtId="168" fontId="5" fillId="9" borderId="0" xfId="0" applyNumberFormat="1" applyFont="1" applyFill="1" applyBorder="1"/>
    <xf numFmtId="168" fontId="5" fillId="8" borderId="26" xfId="0" applyNumberFormat="1" applyFont="1" applyFill="1" applyBorder="1"/>
    <xf numFmtId="168" fontId="5" fillId="0" borderId="10" xfId="0" applyNumberFormat="1" applyFont="1" applyBorder="1"/>
    <xf numFmtId="168" fontId="5" fillId="9" borderId="9" xfId="0" applyNumberFormat="1" applyFont="1" applyFill="1" applyBorder="1"/>
    <xf numFmtId="168" fontId="5" fillId="8" borderId="10" xfId="0" applyNumberFormat="1" applyFont="1" applyFill="1" applyBorder="1"/>
    <xf numFmtId="0" fontId="5" fillId="0" borderId="1" xfId="0" applyFont="1" applyFill="1" applyBorder="1" applyAlignment="1">
      <alignment horizontal="left"/>
    </xf>
    <xf numFmtId="168" fontId="5" fillId="0" borderId="10" xfId="0" applyNumberFormat="1" applyFont="1" applyFill="1" applyBorder="1"/>
    <xf numFmtId="0" fontId="5" fillId="3" borderId="5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168" fontId="6" fillId="3" borderId="22" xfId="0" applyNumberFormat="1" applyFont="1" applyFill="1" applyBorder="1"/>
    <xf numFmtId="168" fontId="5" fillId="3" borderId="10" xfId="0" applyNumberFormat="1" applyFont="1" applyFill="1" applyBorder="1"/>
    <xf numFmtId="168" fontId="1" fillId="6" borderId="10" xfId="0" applyNumberFormat="1" applyFont="1" applyFill="1" applyBorder="1"/>
    <xf numFmtId="0" fontId="2" fillId="3" borderId="2" xfId="0" applyFont="1" applyFill="1" applyBorder="1"/>
    <xf numFmtId="3" fontId="1" fillId="6" borderId="10" xfId="0" applyNumberFormat="1" applyFont="1" applyFill="1" applyBorder="1"/>
    <xf numFmtId="3" fontId="1" fillId="9" borderId="10" xfId="0" applyNumberFormat="1" applyFont="1" applyFill="1" applyBorder="1"/>
    <xf numFmtId="14" fontId="16" fillId="0" borderId="0" xfId="0" applyNumberFormat="1" applyFont="1" applyAlignment="1">
      <alignment horizontal="right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121" sqref="AB121"/>
    </sheetView>
  </sheetViews>
  <sheetFormatPr baseColWidth="10" defaultColWidth="10" defaultRowHeight="12.75" x14ac:dyDescent="0.2"/>
  <cols>
    <col min="1" max="1" width="11.7109375" style="1" customWidth="1"/>
    <col min="2" max="2" width="27.42578125" style="1" bestFit="1" customWidth="1"/>
    <col min="3" max="3" width="12.7109375" style="1" customWidth="1"/>
    <col min="4" max="4" width="13.140625" style="1" bestFit="1" customWidth="1"/>
    <col min="5" max="5" width="14.140625" style="1" bestFit="1" customWidth="1"/>
    <col min="6" max="6" width="15.28515625" style="1" bestFit="1" customWidth="1"/>
    <col min="7" max="7" width="11.7109375" style="1" bestFit="1" customWidth="1"/>
    <col min="8" max="8" width="13.140625" style="1" customWidth="1"/>
    <col min="9" max="9" width="9" style="1" bestFit="1" customWidth="1"/>
    <col min="10" max="10" width="11.7109375" style="1" customWidth="1"/>
    <col min="11" max="11" width="8.140625" style="1" customWidth="1"/>
    <col min="12" max="12" width="8.140625" style="1" bestFit="1" customWidth="1"/>
    <col min="13" max="13" width="15.5703125" style="1" customWidth="1"/>
    <col min="14" max="14" width="11.5703125" style="1" bestFit="1" customWidth="1"/>
    <col min="15" max="15" width="13.28515625" style="1" bestFit="1" customWidth="1"/>
    <col min="16" max="19" width="13.140625" style="1" bestFit="1" customWidth="1"/>
    <col min="20" max="21" width="15.5703125" style="1" customWidth="1"/>
    <col min="22" max="22" width="11.42578125" style="1" bestFit="1" customWidth="1"/>
    <col min="23" max="23" width="12.5703125" style="1" bestFit="1" customWidth="1"/>
    <col min="24" max="24" width="8.85546875" style="1" bestFit="1" customWidth="1"/>
    <col min="25" max="25" width="14.140625" style="1" bestFit="1" customWidth="1"/>
    <col min="26" max="26" width="12.140625" style="1" customWidth="1"/>
    <col min="27" max="27" width="4.42578125" style="1" bestFit="1" customWidth="1"/>
    <col min="28" max="28" width="24.5703125" style="1" customWidth="1"/>
    <col min="29" max="29" width="10.5703125" style="1" bestFit="1" customWidth="1"/>
    <col min="30" max="30" width="9.85546875" style="5" customWidth="1"/>
    <col min="31" max="31" width="7.85546875" style="1" customWidth="1"/>
    <col min="32" max="32" width="9.5703125" style="5" customWidth="1"/>
    <col min="33" max="33" width="9.7109375" style="1" customWidth="1"/>
    <col min="34" max="34" width="10.42578125" style="5" customWidth="1"/>
    <col min="35" max="35" width="9.7109375" style="1" customWidth="1"/>
    <col min="36" max="36" width="8.28515625" style="5" customWidth="1"/>
    <col min="37" max="37" width="10" style="1" bestFit="1" customWidth="1"/>
    <col min="38" max="38" width="8.28515625" style="5" customWidth="1"/>
    <col min="39" max="39" width="10" style="14" customWidth="1"/>
    <col min="40" max="40" width="8.7109375" style="15" customWidth="1"/>
    <col min="41" max="41" width="10.42578125" style="1" customWidth="1"/>
    <col min="42" max="42" width="11.85546875" style="5" customWidth="1"/>
    <col min="43" max="43" width="7.42578125" style="1" bestFit="1" customWidth="1"/>
    <col min="44" max="44" width="8.42578125" style="1" bestFit="1" customWidth="1"/>
    <col min="45" max="45" width="10.42578125" style="1" customWidth="1"/>
    <col min="46" max="256" width="10" style="1"/>
    <col min="257" max="257" width="11.7109375" style="1" customWidth="1"/>
    <col min="258" max="258" width="13.5703125" style="1" customWidth="1"/>
    <col min="259" max="259" width="12.7109375" style="1" customWidth="1"/>
    <col min="260" max="260" width="13.140625" style="1" bestFit="1" customWidth="1"/>
    <col min="261" max="261" width="13" style="1" customWidth="1"/>
    <col min="262" max="262" width="15.28515625" style="1" bestFit="1" customWidth="1"/>
    <col min="263" max="263" width="11.7109375" style="1" bestFit="1" customWidth="1"/>
    <col min="264" max="264" width="13.140625" style="1" customWidth="1"/>
    <col min="265" max="265" width="9" style="1" bestFit="1" customWidth="1"/>
    <col min="266" max="266" width="11.7109375" style="1" customWidth="1"/>
    <col min="267" max="267" width="8.140625" style="1" customWidth="1"/>
    <col min="268" max="268" width="8.140625" style="1" bestFit="1" customWidth="1"/>
    <col min="269" max="269" width="15.5703125" style="1" customWidth="1"/>
    <col min="270" max="270" width="11.5703125" style="1" bestFit="1" customWidth="1"/>
    <col min="271" max="271" width="13.28515625" style="1" bestFit="1" customWidth="1"/>
    <col min="272" max="275" width="13.140625" style="1" bestFit="1" customWidth="1"/>
    <col min="276" max="277" width="15.5703125" style="1" customWidth="1"/>
    <col min="278" max="278" width="11.42578125" style="1" bestFit="1" customWidth="1"/>
    <col min="279" max="279" width="12.5703125" style="1" bestFit="1" customWidth="1"/>
    <col min="280" max="280" width="8.85546875" style="1" bestFit="1" customWidth="1"/>
    <col min="281" max="281" width="14.140625" style="1" bestFit="1" customWidth="1"/>
    <col min="282" max="282" width="12.140625" style="1" customWidth="1"/>
    <col min="283" max="283" width="4.42578125" style="1" bestFit="1" customWidth="1"/>
    <col min="284" max="284" width="20.5703125" style="1" customWidth="1"/>
    <col min="285" max="285" width="10.42578125" style="1" bestFit="1" customWidth="1"/>
    <col min="286" max="286" width="9.85546875" style="1" customWidth="1"/>
    <col min="287" max="287" width="7.85546875" style="1" customWidth="1"/>
    <col min="288" max="288" width="9.5703125" style="1" customWidth="1"/>
    <col min="289" max="289" width="9.7109375" style="1" customWidth="1"/>
    <col min="290" max="290" width="10.42578125" style="1" customWidth="1"/>
    <col min="291" max="291" width="9.7109375" style="1" customWidth="1"/>
    <col min="292" max="292" width="8.28515625" style="1" customWidth="1"/>
    <col min="293" max="293" width="8.7109375" style="1" bestFit="1" customWidth="1"/>
    <col min="294" max="294" width="8.28515625" style="1" customWidth="1"/>
    <col min="295" max="295" width="10" style="1" customWidth="1"/>
    <col min="296" max="296" width="8.7109375" style="1" customWidth="1"/>
    <col min="297" max="297" width="10.42578125" style="1" customWidth="1"/>
    <col min="298" max="298" width="11.85546875" style="1" customWidth="1"/>
    <col min="299" max="299" width="7.42578125" style="1" bestFit="1" customWidth="1"/>
    <col min="300" max="300" width="8.42578125" style="1" bestFit="1" customWidth="1"/>
    <col min="301" max="301" width="10.42578125" style="1" customWidth="1"/>
    <col min="302" max="512" width="10" style="1"/>
    <col min="513" max="513" width="11.7109375" style="1" customWidth="1"/>
    <col min="514" max="514" width="13.5703125" style="1" customWidth="1"/>
    <col min="515" max="515" width="12.7109375" style="1" customWidth="1"/>
    <col min="516" max="516" width="13.140625" style="1" bestFit="1" customWidth="1"/>
    <col min="517" max="517" width="13" style="1" customWidth="1"/>
    <col min="518" max="518" width="15.28515625" style="1" bestFit="1" customWidth="1"/>
    <col min="519" max="519" width="11.7109375" style="1" bestFit="1" customWidth="1"/>
    <col min="520" max="520" width="13.140625" style="1" customWidth="1"/>
    <col min="521" max="521" width="9" style="1" bestFit="1" customWidth="1"/>
    <col min="522" max="522" width="11.7109375" style="1" customWidth="1"/>
    <col min="523" max="523" width="8.140625" style="1" customWidth="1"/>
    <col min="524" max="524" width="8.140625" style="1" bestFit="1" customWidth="1"/>
    <col min="525" max="525" width="15.5703125" style="1" customWidth="1"/>
    <col min="526" max="526" width="11.5703125" style="1" bestFit="1" customWidth="1"/>
    <col min="527" max="527" width="13.28515625" style="1" bestFit="1" customWidth="1"/>
    <col min="528" max="531" width="13.140625" style="1" bestFit="1" customWidth="1"/>
    <col min="532" max="533" width="15.5703125" style="1" customWidth="1"/>
    <col min="534" max="534" width="11.42578125" style="1" bestFit="1" customWidth="1"/>
    <col min="535" max="535" width="12.5703125" style="1" bestFit="1" customWidth="1"/>
    <col min="536" max="536" width="8.85546875" style="1" bestFit="1" customWidth="1"/>
    <col min="537" max="537" width="14.140625" style="1" bestFit="1" customWidth="1"/>
    <col min="538" max="538" width="12.140625" style="1" customWidth="1"/>
    <col min="539" max="539" width="4.42578125" style="1" bestFit="1" customWidth="1"/>
    <col min="540" max="540" width="20.5703125" style="1" customWidth="1"/>
    <col min="541" max="541" width="10.42578125" style="1" bestFit="1" customWidth="1"/>
    <col min="542" max="542" width="9.85546875" style="1" customWidth="1"/>
    <col min="543" max="543" width="7.85546875" style="1" customWidth="1"/>
    <col min="544" max="544" width="9.5703125" style="1" customWidth="1"/>
    <col min="545" max="545" width="9.7109375" style="1" customWidth="1"/>
    <col min="546" max="546" width="10.42578125" style="1" customWidth="1"/>
    <col min="547" max="547" width="9.7109375" style="1" customWidth="1"/>
    <col min="548" max="548" width="8.28515625" style="1" customWidth="1"/>
    <col min="549" max="549" width="8.7109375" style="1" bestFit="1" customWidth="1"/>
    <col min="550" max="550" width="8.28515625" style="1" customWidth="1"/>
    <col min="551" max="551" width="10" style="1" customWidth="1"/>
    <col min="552" max="552" width="8.7109375" style="1" customWidth="1"/>
    <col min="553" max="553" width="10.42578125" style="1" customWidth="1"/>
    <col min="554" max="554" width="11.85546875" style="1" customWidth="1"/>
    <col min="555" max="555" width="7.42578125" style="1" bestFit="1" customWidth="1"/>
    <col min="556" max="556" width="8.42578125" style="1" bestFit="1" customWidth="1"/>
    <col min="557" max="557" width="10.42578125" style="1" customWidth="1"/>
    <col min="558" max="768" width="10" style="1"/>
    <col min="769" max="769" width="11.7109375" style="1" customWidth="1"/>
    <col min="770" max="770" width="13.5703125" style="1" customWidth="1"/>
    <col min="771" max="771" width="12.7109375" style="1" customWidth="1"/>
    <col min="772" max="772" width="13.140625" style="1" bestFit="1" customWidth="1"/>
    <col min="773" max="773" width="13" style="1" customWidth="1"/>
    <col min="774" max="774" width="15.28515625" style="1" bestFit="1" customWidth="1"/>
    <col min="775" max="775" width="11.7109375" style="1" bestFit="1" customWidth="1"/>
    <col min="776" max="776" width="13.140625" style="1" customWidth="1"/>
    <col min="777" max="777" width="9" style="1" bestFit="1" customWidth="1"/>
    <col min="778" max="778" width="11.7109375" style="1" customWidth="1"/>
    <col min="779" max="779" width="8.140625" style="1" customWidth="1"/>
    <col min="780" max="780" width="8.140625" style="1" bestFit="1" customWidth="1"/>
    <col min="781" max="781" width="15.5703125" style="1" customWidth="1"/>
    <col min="782" max="782" width="11.5703125" style="1" bestFit="1" customWidth="1"/>
    <col min="783" max="783" width="13.28515625" style="1" bestFit="1" customWidth="1"/>
    <col min="784" max="787" width="13.140625" style="1" bestFit="1" customWidth="1"/>
    <col min="788" max="789" width="15.5703125" style="1" customWidth="1"/>
    <col min="790" max="790" width="11.42578125" style="1" bestFit="1" customWidth="1"/>
    <col min="791" max="791" width="12.5703125" style="1" bestFit="1" customWidth="1"/>
    <col min="792" max="792" width="8.85546875" style="1" bestFit="1" customWidth="1"/>
    <col min="793" max="793" width="14.140625" style="1" bestFit="1" customWidth="1"/>
    <col min="794" max="794" width="12.140625" style="1" customWidth="1"/>
    <col min="795" max="795" width="4.42578125" style="1" bestFit="1" customWidth="1"/>
    <col min="796" max="796" width="20.5703125" style="1" customWidth="1"/>
    <col min="797" max="797" width="10.42578125" style="1" bestFit="1" customWidth="1"/>
    <col min="798" max="798" width="9.85546875" style="1" customWidth="1"/>
    <col min="799" max="799" width="7.85546875" style="1" customWidth="1"/>
    <col min="800" max="800" width="9.5703125" style="1" customWidth="1"/>
    <col min="801" max="801" width="9.7109375" style="1" customWidth="1"/>
    <col min="802" max="802" width="10.42578125" style="1" customWidth="1"/>
    <col min="803" max="803" width="9.7109375" style="1" customWidth="1"/>
    <col min="804" max="804" width="8.28515625" style="1" customWidth="1"/>
    <col min="805" max="805" width="8.7109375" style="1" bestFit="1" customWidth="1"/>
    <col min="806" max="806" width="8.28515625" style="1" customWidth="1"/>
    <col min="807" max="807" width="10" style="1" customWidth="1"/>
    <col min="808" max="808" width="8.7109375" style="1" customWidth="1"/>
    <col min="809" max="809" width="10.42578125" style="1" customWidth="1"/>
    <col min="810" max="810" width="11.85546875" style="1" customWidth="1"/>
    <col min="811" max="811" width="7.42578125" style="1" bestFit="1" customWidth="1"/>
    <col min="812" max="812" width="8.42578125" style="1" bestFit="1" customWidth="1"/>
    <col min="813" max="813" width="10.42578125" style="1" customWidth="1"/>
    <col min="814" max="1024" width="10" style="1"/>
    <col min="1025" max="1025" width="11.7109375" style="1" customWidth="1"/>
    <col min="1026" max="1026" width="13.5703125" style="1" customWidth="1"/>
    <col min="1027" max="1027" width="12.7109375" style="1" customWidth="1"/>
    <col min="1028" max="1028" width="13.140625" style="1" bestFit="1" customWidth="1"/>
    <col min="1029" max="1029" width="13" style="1" customWidth="1"/>
    <col min="1030" max="1030" width="15.28515625" style="1" bestFit="1" customWidth="1"/>
    <col min="1031" max="1031" width="11.7109375" style="1" bestFit="1" customWidth="1"/>
    <col min="1032" max="1032" width="13.140625" style="1" customWidth="1"/>
    <col min="1033" max="1033" width="9" style="1" bestFit="1" customWidth="1"/>
    <col min="1034" max="1034" width="11.7109375" style="1" customWidth="1"/>
    <col min="1035" max="1035" width="8.140625" style="1" customWidth="1"/>
    <col min="1036" max="1036" width="8.140625" style="1" bestFit="1" customWidth="1"/>
    <col min="1037" max="1037" width="15.5703125" style="1" customWidth="1"/>
    <col min="1038" max="1038" width="11.5703125" style="1" bestFit="1" customWidth="1"/>
    <col min="1039" max="1039" width="13.28515625" style="1" bestFit="1" customWidth="1"/>
    <col min="1040" max="1043" width="13.140625" style="1" bestFit="1" customWidth="1"/>
    <col min="1044" max="1045" width="15.5703125" style="1" customWidth="1"/>
    <col min="1046" max="1046" width="11.42578125" style="1" bestFit="1" customWidth="1"/>
    <col min="1047" max="1047" width="12.5703125" style="1" bestFit="1" customWidth="1"/>
    <col min="1048" max="1048" width="8.85546875" style="1" bestFit="1" customWidth="1"/>
    <col min="1049" max="1049" width="14.140625" style="1" bestFit="1" customWidth="1"/>
    <col min="1050" max="1050" width="12.140625" style="1" customWidth="1"/>
    <col min="1051" max="1051" width="4.42578125" style="1" bestFit="1" customWidth="1"/>
    <col min="1052" max="1052" width="20.5703125" style="1" customWidth="1"/>
    <col min="1053" max="1053" width="10.42578125" style="1" bestFit="1" customWidth="1"/>
    <col min="1054" max="1054" width="9.85546875" style="1" customWidth="1"/>
    <col min="1055" max="1055" width="7.85546875" style="1" customWidth="1"/>
    <col min="1056" max="1056" width="9.5703125" style="1" customWidth="1"/>
    <col min="1057" max="1057" width="9.7109375" style="1" customWidth="1"/>
    <col min="1058" max="1058" width="10.42578125" style="1" customWidth="1"/>
    <col min="1059" max="1059" width="9.7109375" style="1" customWidth="1"/>
    <col min="1060" max="1060" width="8.28515625" style="1" customWidth="1"/>
    <col min="1061" max="1061" width="8.7109375" style="1" bestFit="1" customWidth="1"/>
    <col min="1062" max="1062" width="8.28515625" style="1" customWidth="1"/>
    <col min="1063" max="1063" width="10" style="1" customWidth="1"/>
    <col min="1064" max="1064" width="8.7109375" style="1" customWidth="1"/>
    <col min="1065" max="1065" width="10.42578125" style="1" customWidth="1"/>
    <col min="1066" max="1066" width="11.85546875" style="1" customWidth="1"/>
    <col min="1067" max="1067" width="7.42578125" style="1" bestFit="1" customWidth="1"/>
    <col min="1068" max="1068" width="8.42578125" style="1" bestFit="1" customWidth="1"/>
    <col min="1069" max="1069" width="10.42578125" style="1" customWidth="1"/>
    <col min="1070" max="1280" width="10" style="1"/>
    <col min="1281" max="1281" width="11.7109375" style="1" customWidth="1"/>
    <col min="1282" max="1282" width="13.5703125" style="1" customWidth="1"/>
    <col min="1283" max="1283" width="12.7109375" style="1" customWidth="1"/>
    <col min="1284" max="1284" width="13.140625" style="1" bestFit="1" customWidth="1"/>
    <col min="1285" max="1285" width="13" style="1" customWidth="1"/>
    <col min="1286" max="1286" width="15.28515625" style="1" bestFit="1" customWidth="1"/>
    <col min="1287" max="1287" width="11.7109375" style="1" bestFit="1" customWidth="1"/>
    <col min="1288" max="1288" width="13.140625" style="1" customWidth="1"/>
    <col min="1289" max="1289" width="9" style="1" bestFit="1" customWidth="1"/>
    <col min="1290" max="1290" width="11.7109375" style="1" customWidth="1"/>
    <col min="1291" max="1291" width="8.140625" style="1" customWidth="1"/>
    <col min="1292" max="1292" width="8.140625" style="1" bestFit="1" customWidth="1"/>
    <col min="1293" max="1293" width="15.5703125" style="1" customWidth="1"/>
    <col min="1294" max="1294" width="11.5703125" style="1" bestFit="1" customWidth="1"/>
    <col min="1295" max="1295" width="13.28515625" style="1" bestFit="1" customWidth="1"/>
    <col min="1296" max="1299" width="13.140625" style="1" bestFit="1" customWidth="1"/>
    <col min="1300" max="1301" width="15.5703125" style="1" customWidth="1"/>
    <col min="1302" max="1302" width="11.42578125" style="1" bestFit="1" customWidth="1"/>
    <col min="1303" max="1303" width="12.5703125" style="1" bestFit="1" customWidth="1"/>
    <col min="1304" max="1304" width="8.85546875" style="1" bestFit="1" customWidth="1"/>
    <col min="1305" max="1305" width="14.140625" style="1" bestFit="1" customWidth="1"/>
    <col min="1306" max="1306" width="12.140625" style="1" customWidth="1"/>
    <col min="1307" max="1307" width="4.42578125" style="1" bestFit="1" customWidth="1"/>
    <col min="1308" max="1308" width="20.5703125" style="1" customWidth="1"/>
    <col min="1309" max="1309" width="10.42578125" style="1" bestFit="1" customWidth="1"/>
    <col min="1310" max="1310" width="9.85546875" style="1" customWidth="1"/>
    <col min="1311" max="1311" width="7.85546875" style="1" customWidth="1"/>
    <col min="1312" max="1312" width="9.5703125" style="1" customWidth="1"/>
    <col min="1313" max="1313" width="9.7109375" style="1" customWidth="1"/>
    <col min="1314" max="1314" width="10.42578125" style="1" customWidth="1"/>
    <col min="1315" max="1315" width="9.7109375" style="1" customWidth="1"/>
    <col min="1316" max="1316" width="8.28515625" style="1" customWidth="1"/>
    <col min="1317" max="1317" width="8.7109375" style="1" bestFit="1" customWidth="1"/>
    <col min="1318" max="1318" width="8.28515625" style="1" customWidth="1"/>
    <col min="1319" max="1319" width="10" style="1" customWidth="1"/>
    <col min="1320" max="1320" width="8.7109375" style="1" customWidth="1"/>
    <col min="1321" max="1321" width="10.42578125" style="1" customWidth="1"/>
    <col min="1322" max="1322" width="11.85546875" style="1" customWidth="1"/>
    <col min="1323" max="1323" width="7.42578125" style="1" bestFit="1" customWidth="1"/>
    <col min="1324" max="1324" width="8.42578125" style="1" bestFit="1" customWidth="1"/>
    <col min="1325" max="1325" width="10.42578125" style="1" customWidth="1"/>
    <col min="1326" max="1536" width="10" style="1"/>
    <col min="1537" max="1537" width="11.7109375" style="1" customWidth="1"/>
    <col min="1538" max="1538" width="13.5703125" style="1" customWidth="1"/>
    <col min="1539" max="1539" width="12.7109375" style="1" customWidth="1"/>
    <col min="1540" max="1540" width="13.140625" style="1" bestFit="1" customWidth="1"/>
    <col min="1541" max="1541" width="13" style="1" customWidth="1"/>
    <col min="1542" max="1542" width="15.28515625" style="1" bestFit="1" customWidth="1"/>
    <col min="1543" max="1543" width="11.7109375" style="1" bestFit="1" customWidth="1"/>
    <col min="1544" max="1544" width="13.140625" style="1" customWidth="1"/>
    <col min="1545" max="1545" width="9" style="1" bestFit="1" customWidth="1"/>
    <col min="1546" max="1546" width="11.7109375" style="1" customWidth="1"/>
    <col min="1547" max="1547" width="8.140625" style="1" customWidth="1"/>
    <col min="1548" max="1548" width="8.140625" style="1" bestFit="1" customWidth="1"/>
    <col min="1549" max="1549" width="15.5703125" style="1" customWidth="1"/>
    <col min="1550" max="1550" width="11.5703125" style="1" bestFit="1" customWidth="1"/>
    <col min="1551" max="1551" width="13.28515625" style="1" bestFit="1" customWidth="1"/>
    <col min="1552" max="1555" width="13.140625" style="1" bestFit="1" customWidth="1"/>
    <col min="1556" max="1557" width="15.5703125" style="1" customWidth="1"/>
    <col min="1558" max="1558" width="11.42578125" style="1" bestFit="1" customWidth="1"/>
    <col min="1559" max="1559" width="12.5703125" style="1" bestFit="1" customWidth="1"/>
    <col min="1560" max="1560" width="8.85546875" style="1" bestFit="1" customWidth="1"/>
    <col min="1561" max="1561" width="14.140625" style="1" bestFit="1" customWidth="1"/>
    <col min="1562" max="1562" width="12.140625" style="1" customWidth="1"/>
    <col min="1563" max="1563" width="4.42578125" style="1" bestFit="1" customWidth="1"/>
    <col min="1564" max="1564" width="20.5703125" style="1" customWidth="1"/>
    <col min="1565" max="1565" width="10.42578125" style="1" bestFit="1" customWidth="1"/>
    <col min="1566" max="1566" width="9.85546875" style="1" customWidth="1"/>
    <col min="1567" max="1567" width="7.85546875" style="1" customWidth="1"/>
    <col min="1568" max="1568" width="9.5703125" style="1" customWidth="1"/>
    <col min="1569" max="1569" width="9.7109375" style="1" customWidth="1"/>
    <col min="1570" max="1570" width="10.42578125" style="1" customWidth="1"/>
    <col min="1571" max="1571" width="9.7109375" style="1" customWidth="1"/>
    <col min="1572" max="1572" width="8.28515625" style="1" customWidth="1"/>
    <col min="1573" max="1573" width="8.7109375" style="1" bestFit="1" customWidth="1"/>
    <col min="1574" max="1574" width="8.28515625" style="1" customWidth="1"/>
    <col min="1575" max="1575" width="10" style="1" customWidth="1"/>
    <col min="1576" max="1576" width="8.7109375" style="1" customWidth="1"/>
    <col min="1577" max="1577" width="10.42578125" style="1" customWidth="1"/>
    <col min="1578" max="1578" width="11.85546875" style="1" customWidth="1"/>
    <col min="1579" max="1579" width="7.42578125" style="1" bestFit="1" customWidth="1"/>
    <col min="1580" max="1580" width="8.42578125" style="1" bestFit="1" customWidth="1"/>
    <col min="1581" max="1581" width="10.42578125" style="1" customWidth="1"/>
    <col min="1582" max="1792" width="10" style="1"/>
    <col min="1793" max="1793" width="11.7109375" style="1" customWidth="1"/>
    <col min="1794" max="1794" width="13.5703125" style="1" customWidth="1"/>
    <col min="1795" max="1795" width="12.7109375" style="1" customWidth="1"/>
    <col min="1796" max="1796" width="13.140625" style="1" bestFit="1" customWidth="1"/>
    <col min="1797" max="1797" width="13" style="1" customWidth="1"/>
    <col min="1798" max="1798" width="15.28515625" style="1" bestFit="1" customWidth="1"/>
    <col min="1799" max="1799" width="11.7109375" style="1" bestFit="1" customWidth="1"/>
    <col min="1800" max="1800" width="13.140625" style="1" customWidth="1"/>
    <col min="1801" max="1801" width="9" style="1" bestFit="1" customWidth="1"/>
    <col min="1802" max="1802" width="11.7109375" style="1" customWidth="1"/>
    <col min="1803" max="1803" width="8.140625" style="1" customWidth="1"/>
    <col min="1804" max="1804" width="8.140625" style="1" bestFit="1" customWidth="1"/>
    <col min="1805" max="1805" width="15.5703125" style="1" customWidth="1"/>
    <col min="1806" max="1806" width="11.5703125" style="1" bestFit="1" customWidth="1"/>
    <col min="1807" max="1807" width="13.28515625" style="1" bestFit="1" customWidth="1"/>
    <col min="1808" max="1811" width="13.140625" style="1" bestFit="1" customWidth="1"/>
    <col min="1812" max="1813" width="15.5703125" style="1" customWidth="1"/>
    <col min="1814" max="1814" width="11.42578125" style="1" bestFit="1" customWidth="1"/>
    <col min="1815" max="1815" width="12.5703125" style="1" bestFit="1" customWidth="1"/>
    <col min="1816" max="1816" width="8.85546875" style="1" bestFit="1" customWidth="1"/>
    <col min="1817" max="1817" width="14.140625" style="1" bestFit="1" customWidth="1"/>
    <col min="1818" max="1818" width="12.140625" style="1" customWidth="1"/>
    <col min="1819" max="1819" width="4.42578125" style="1" bestFit="1" customWidth="1"/>
    <col min="1820" max="1820" width="20.5703125" style="1" customWidth="1"/>
    <col min="1821" max="1821" width="10.42578125" style="1" bestFit="1" customWidth="1"/>
    <col min="1822" max="1822" width="9.85546875" style="1" customWidth="1"/>
    <col min="1823" max="1823" width="7.85546875" style="1" customWidth="1"/>
    <col min="1824" max="1824" width="9.5703125" style="1" customWidth="1"/>
    <col min="1825" max="1825" width="9.7109375" style="1" customWidth="1"/>
    <col min="1826" max="1826" width="10.42578125" style="1" customWidth="1"/>
    <col min="1827" max="1827" width="9.7109375" style="1" customWidth="1"/>
    <col min="1828" max="1828" width="8.28515625" style="1" customWidth="1"/>
    <col min="1829" max="1829" width="8.7109375" style="1" bestFit="1" customWidth="1"/>
    <col min="1830" max="1830" width="8.28515625" style="1" customWidth="1"/>
    <col min="1831" max="1831" width="10" style="1" customWidth="1"/>
    <col min="1832" max="1832" width="8.7109375" style="1" customWidth="1"/>
    <col min="1833" max="1833" width="10.42578125" style="1" customWidth="1"/>
    <col min="1834" max="1834" width="11.85546875" style="1" customWidth="1"/>
    <col min="1835" max="1835" width="7.42578125" style="1" bestFit="1" customWidth="1"/>
    <col min="1836" max="1836" width="8.42578125" style="1" bestFit="1" customWidth="1"/>
    <col min="1837" max="1837" width="10.42578125" style="1" customWidth="1"/>
    <col min="1838" max="2048" width="10" style="1"/>
    <col min="2049" max="2049" width="11.7109375" style="1" customWidth="1"/>
    <col min="2050" max="2050" width="13.5703125" style="1" customWidth="1"/>
    <col min="2051" max="2051" width="12.7109375" style="1" customWidth="1"/>
    <col min="2052" max="2052" width="13.140625" style="1" bestFit="1" customWidth="1"/>
    <col min="2053" max="2053" width="13" style="1" customWidth="1"/>
    <col min="2054" max="2054" width="15.28515625" style="1" bestFit="1" customWidth="1"/>
    <col min="2055" max="2055" width="11.7109375" style="1" bestFit="1" customWidth="1"/>
    <col min="2056" max="2056" width="13.140625" style="1" customWidth="1"/>
    <col min="2057" max="2057" width="9" style="1" bestFit="1" customWidth="1"/>
    <col min="2058" max="2058" width="11.7109375" style="1" customWidth="1"/>
    <col min="2059" max="2059" width="8.140625" style="1" customWidth="1"/>
    <col min="2060" max="2060" width="8.140625" style="1" bestFit="1" customWidth="1"/>
    <col min="2061" max="2061" width="15.5703125" style="1" customWidth="1"/>
    <col min="2062" max="2062" width="11.5703125" style="1" bestFit="1" customWidth="1"/>
    <col min="2063" max="2063" width="13.28515625" style="1" bestFit="1" customWidth="1"/>
    <col min="2064" max="2067" width="13.140625" style="1" bestFit="1" customWidth="1"/>
    <col min="2068" max="2069" width="15.5703125" style="1" customWidth="1"/>
    <col min="2070" max="2070" width="11.42578125" style="1" bestFit="1" customWidth="1"/>
    <col min="2071" max="2071" width="12.5703125" style="1" bestFit="1" customWidth="1"/>
    <col min="2072" max="2072" width="8.85546875" style="1" bestFit="1" customWidth="1"/>
    <col min="2073" max="2073" width="14.140625" style="1" bestFit="1" customWidth="1"/>
    <col min="2074" max="2074" width="12.140625" style="1" customWidth="1"/>
    <col min="2075" max="2075" width="4.42578125" style="1" bestFit="1" customWidth="1"/>
    <col min="2076" max="2076" width="20.5703125" style="1" customWidth="1"/>
    <col min="2077" max="2077" width="10.42578125" style="1" bestFit="1" customWidth="1"/>
    <col min="2078" max="2078" width="9.85546875" style="1" customWidth="1"/>
    <col min="2079" max="2079" width="7.85546875" style="1" customWidth="1"/>
    <col min="2080" max="2080" width="9.5703125" style="1" customWidth="1"/>
    <col min="2081" max="2081" width="9.7109375" style="1" customWidth="1"/>
    <col min="2082" max="2082" width="10.42578125" style="1" customWidth="1"/>
    <col min="2083" max="2083" width="9.7109375" style="1" customWidth="1"/>
    <col min="2084" max="2084" width="8.28515625" style="1" customWidth="1"/>
    <col min="2085" max="2085" width="8.7109375" style="1" bestFit="1" customWidth="1"/>
    <col min="2086" max="2086" width="8.28515625" style="1" customWidth="1"/>
    <col min="2087" max="2087" width="10" style="1" customWidth="1"/>
    <col min="2088" max="2088" width="8.7109375" style="1" customWidth="1"/>
    <col min="2089" max="2089" width="10.42578125" style="1" customWidth="1"/>
    <col min="2090" max="2090" width="11.85546875" style="1" customWidth="1"/>
    <col min="2091" max="2091" width="7.42578125" style="1" bestFit="1" customWidth="1"/>
    <col min="2092" max="2092" width="8.42578125" style="1" bestFit="1" customWidth="1"/>
    <col min="2093" max="2093" width="10.42578125" style="1" customWidth="1"/>
    <col min="2094" max="2304" width="10" style="1"/>
    <col min="2305" max="2305" width="11.7109375" style="1" customWidth="1"/>
    <col min="2306" max="2306" width="13.5703125" style="1" customWidth="1"/>
    <col min="2307" max="2307" width="12.7109375" style="1" customWidth="1"/>
    <col min="2308" max="2308" width="13.140625" style="1" bestFit="1" customWidth="1"/>
    <col min="2309" max="2309" width="13" style="1" customWidth="1"/>
    <col min="2310" max="2310" width="15.28515625" style="1" bestFit="1" customWidth="1"/>
    <col min="2311" max="2311" width="11.7109375" style="1" bestFit="1" customWidth="1"/>
    <col min="2312" max="2312" width="13.140625" style="1" customWidth="1"/>
    <col min="2313" max="2313" width="9" style="1" bestFit="1" customWidth="1"/>
    <col min="2314" max="2314" width="11.7109375" style="1" customWidth="1"/>
    <col min="2315" max="2315" width="8.140625" style="1" customWidth="1"/>
    <col min="2316" max="2316" width="8.140625" style="1" bestFit="1" customWidth="1"/>
    <col min="2317" max="2317" width="15.5703125" style="1" customWidth="1"/>
    <col min="2318" max="2318" width="11.5703125" style="1" bestFit="1" customWidth="1"/>
    <col min="2319" max="2319" width="13.28515625" style="1" bestFit="1" customWidth="1"/>
    <col min="2320" max="2323" width="13.140625" style="1" bestFit="1" customWidth="1"/>
    <col min="2324" max="2325" width="15.5703125" style="1" customWidth="1"/>
    <col min="2326" max="2326" width="11.42578125" style="1" bestFit="1" customWidth="1"/>
    <col min="2327" max="2327" width="12.5703125" style="1" bestFit="1" customWidth="1"/>
    <col min="2328" max="2328" width="8.85546875" style="1" bestFit="1" customWidth="1"/>
    <col min="2329" max="2329" width="14.140625" style="1" bestFit="1" customWidth="1"/>
    <col min="2330" max="2330" width="12.140625" style="1" customWidth="1"/>
    <col min="2331" max="2331" width="4.42578125" style="1" bestFit="1" customWidth="1"/>
    <col min="2332" max="2332" width="20.5703125" style="1" customWidth="1"/>
    <col min="2333" max="2333" width="10.42578125" style="1" bestFit="1" customWidth="1"/>
    <col min="2334" max="2334" width="9.85546875" style="1" customWidth="1"/>
    <col min="2335" max="2335" width="7.85546875" style="1" customWidth="1"/>
    <col min="2336" max="2336" width="9.5703125" style="1" customWidth="1"/>
    <col min="2337" max="2337" width="9.7109375" style="1" customWidth="1"/>
    <col min="2338" max="2338" width="10.42578125" style="1" customWidth="1"/>
    <col min="2339" max="2339" width="9.7109375" style="1" customWidth="1"/>
    <col min="2340" max="2340" width="8.28515625" style="1" customWidth="1"/>
    <col min="2341" max="2341" width="8.7109375" style="1" bestFit="1" customWidth="1"/>
    <col min="2342" max="2342" width="8.28515625" style="1" customWidth="1"/>
    <col min="2343" max="2343" width="10" style="1" customWidth="1"/>
    <col min="2344" max="2344" width="8.7109375" style="1" customWidth="1"/>
    <col min="2345" max="2345" width="10.42578125" style="1" customWidth="1"/>
    <col min="2346" max="2346" width="11.85546875" style="1" customWidth="1"/>
    <col min="2347" max="2347" width="7.42578125" style="1" bestFit="1" customWidth="1"/>
    <col min="2348" max="2348" width="8.42578125" style="1" bestFit="1" customWidth="1"/>
    <col min="2349" max="2349" width="10.42578125" style="1" customWidth="1"/>
    <col min="2350" max="2560" width="10" style="1"/>
    <col min="2561" max="2561" width="11.7109375" style="1" customWidth="1"/>
    <col min="2562" max="2562" width="13.5703125" style="1" customWidth="1"/>
    <col min="2563" max="2563" width="12.7109375" style="1" customWidth="1"/>
    <col min="2564" max="2564" width="13.140625" style="1" bestFit="1" customWidth="1"/>
    <col min="2565" max="2565" width="13" style="1" customWidth="1"/>
    <col min="2566" max="2566" width="15.28515625" style="1" bestFit="1" customWidth="1"/>
    <col min="2567" max="2567" width="11.7109375" style="1" bestFit="1" customWidth="1"/>
    <col min="2568" max="2568" width="13.140625" style="1" customWidth="1"/>
    <col min="2569" max="2569" width="9" style="1" bestFit="1" customWidth="1"/>
    <col min="2570" max="2570" width="11.7109375" style="1" customWidth="1"/>
    <col min="2571" max="2571" width="8.140625" style="1" customWidth="1"/>
    <col min="2572" max="2572" width="8.140625" style="1" bestFit="1" customWidth="1"/>
    <col min="2573" max="2573" width="15.5703125" style="1" customWidth="1"/>
    <col min="2574" max="2574" width="11.5703125" style="1" bestFit="1" customWidth="1"/>
    <col min="2575" max="2575" width="13.28515625" style="1" bestFit="1" customWidth="1"/>
    <col min="2576" max="2579" width="13.140625" style="1" bestFit="1" customWidth="1"/>
    <col min="2580" max="2581" width="15.5703125" style="1" customWidth="1"/>
    <col min="2582" max="2582" width="11.42578125" style="1" bestFit="1" customWidth="1"/>
    <col min="2583" max="2583" width="12.5703125" style="1" bestFit="1" customWidth="1"/>
    <col min="2584" max="2584" width="8.85546875" style="1" bestFit="1" customWidth="1"/>
    <col min="2585" max="2585" width="14.140625" style="1" bestFit="1" customWidth="1"/>
    <col min="2586" max="2586" width="12.140625" style="1" customWidth="1"/>
    <col min="2587" max="2587" width="4.42578125" style="1" bestFit="1" customWidth="1"/>
    <col min="2588" max="2588" width="20.5703125" style="1" customWidth="1"/>
    <col min="2589" max="2589" width="10.42578125" style="1" bestFit="1" customWidth="1"/>
    <col min="2590" max="2590" width="9.85546875" style="1" customWidth="1"/>
    <col min="2591" max="2591" width="7.85546875" style="1" customWidth="1"/>
    <col min="2592" max="2592" width="9.5703125" style="1" customWidth="1"/>
    <col min="2593" max="2593" width="9.7109375" style="1" customWidth="1"/>
    <col min="2594" max="2594" width="10.42578125" style="1" customWidth="1"/>
    <col min="2595" max="2595" width="9.7109375" style="1" customWidth="1"/>
    <col min="2596" max="2596" width="8.28515625" style="1" customWidth="1"/>
    <col min="2597" max="2597" width="8.7109375" style="1" bestFit="1" customWidth="1"/>
    <col min="2598" max="2598" width="8.28515625" style="1" customWidth="1"/>
    <col min="2599" max="2599" width="10" style="1" customWidth="1"/>
    <col min="2600" max="2600" width="8.7109375" style="1" customWidth="1"/>
    <col min="2601" max="2601" width="10.42578125" style="1" customWidth="1"/>
    <col min="2602" max="2602" width="11.85546875" style="1" customWidth="1"/>
    <col min="2603" max="2603" width="7.42578125" style="1" bestFit="1" customWidth="1"/>
    <col min="2604" max="2604" width="8.42578125" style="1" bestFit="1" customWidth="1"/>
    <col min="2605" max="2605" width="10.42578125" style="1" customWidth="1"/>
    <col min="2606" max="2816" width="10" style="1"/>
    <col min="2817" max="2817" width="11.7109375" style="1" customWidth="1"/>
    <col min="2818" max="2818" width="13.5703125" style="1" customWidth="1"/>
    <col min="2819" max="2819" width="12.7109375" style="1" customWidth="1"/>
    <col min="2820" max="2820" width="13.140625" style="1" bestFit="1" customWidth="1"/>
    <col min="2821" max="2821" width="13" style="1" customWidth="1"/>
    <col min="2822" max="2822" width="15.28515625" style="1" bestFit="1" customWidth="1"/>
    <col min="2823" max="2823" width="11.7109375" style="1" bestFit="1" customWidth="1"/>
    <col min="2824" max="2824" width="13.140625" style="1" customWidth="1"/>
    <col min="2825" max="2825" width="9" style="1" bestFit="1" customWidth="1"/>
    <col min="2826" max="2826" width="11.7109375" style="1" customWidth="1"/>
    <col min="2827" max="2827" width="8.140625" style="1" customWidth="1"/>
    <col min="2828" max="2828" width="8.140625" style="1" bestFit="1" customWidth="1"/>
    <col min="2829" max="2829" width="15.5703125" style="1" customWidth="1"/>
    <col min="2830" max="2830" width="11.5703125" style="1" bestFit="1" customWidth="1"/>
    <col min="2831" max="2831" width="13.28515625" style="1" bestFit="1" customWidth="1"/>
    <col min="2832" max="2835" width="13.140625" style="1" bestFit="1" customWidth="1"/>
    <col min="2836" max="2837" width="15.5703125" style="1" customWidth="1"/>
    <col min="2838" max="2838" width="11.42578125" style="1" bestFit="1" customWidth="1"/>
    <col min="2839" max="2839" width="12.5703125" style="1" bestFit="1" customWidth="1"/>
    <col min="2840" max="2840" width="8.85546875" style="1" bestFit="1" customWidth="1"/>
    <col min="2841" max="2841" width="14.140625" style="1" bestFit="1" customWidth="1"/>
    <col min="2842" max="2842" width="12.140625" style="1" customWidth="1"/>
    <col min="2843" max="2843" width="4.42578125" style="1" bestFit="1" customWidth="1"/>
    <col min="2844" max="2844" width="20.5703125" style="1" customWidth="1"/>
    <col min="2845" max="2845" width="10.42578125" style="1" bestFit="1" customWidth="1"/>
    <col min="2846" max="2846" width="9.85546875" style="1" customWidth="1"/>
    <col min="2847" max="2847" width="7.85546875" style="1" customWidth="1"/>
    <col min="2848" max="2848" width="9.5703125" style="1" customWidth="1"/>
    <col min="2849" max="2849" width="9.7109375" style="1" customWidth="1"/>
    <col min="2850" max="2850" width="10.42578125" style="1" customWidth="1"/>
    <col min="2851" max="2851" width="9.7109375" style="1" customWidth="1"/>
    <col min="2852" max="2852" width="8.28515625" style="1" customWidth="1"/>
    <col min="2853" max="2853" width="8.7109375" style="1" bestFit="1" customWidth="1"/>
    <col min="2854" max="2854" width="8.28515625" style="1" customWidth="1"/>
    <col min="2855" max="2855" width="10" style="1" customWidth="1"/>
    <col min="2856" max="2856" width="8.7109375" style="1" customWidth="1"/>
    <col min="2857" max="2857" width="10.42578125" style="1" customWidth="1"/>
    <col min="2858" max="2858" width="11.85546875" style="1" customWidth="1"/>
    <col min="2859" max="2859" width="7.42578125" style="1" bestFit="1" customWidth="1"/>
    <col min="2860" max="2860" width="8.42578125" style="1" bestFit="1" customWidth="1"/>
    <col min="2861" max="2861" width="10.42578125" style="1" customWidth="1"/>
    <col min="2862" max="3072" width="10" style="1"/>
    <col min="3073" max="3073" width="11.7109375" style="1" customWidth="1"/>
    <col min="3074" max="3074" width="13.5703125" style="1" customWidth="1"/>
    <col min="3075" max="3075" width="12.7109375" style="1" customWidth="1"/>
    <col min="3076" max="3076" width="13.140625" style="1" bestFit="1" customWidth="1"/>
    <col min="3077" max="3077" width="13" style="1" customWidth="1"/>
    <col min="3078" max="3078" width="15.28515625" style="1" bestFit="1" customWidth="1"/>
    <col min="3079" max="3079" width="11.7109375" style="1" bestFit="1" customWidth="1"/>
    <col min="3080" max="3080" width="13.140625" style="1" customWidth="1"/>
    <col min="3081" max="3081" width="9" style="1" bestFit="1" customWidth="1"/>
    <col min="3082" max="3082" width="11.7109375" style="1" customWidth="1"/>
    <col min="3083" max="3083" width="8.140625" style="1" customWidth="1"/>
    <col min="3084" max="3084" width="8.140625" style="1" bestFit="1" customWidth="1"/>
    <col min="3085" max="3085" width="15.5703125" style="1" customWidth="1"/>
    <col min="3086" max="3086" width="11.5703125" style="1" bestFit="1" customWidth="1"/>
    <col min="3087" max="3087" width="13.28515625" style="1" bestFit="1" customWidth="1"/>
    <col min="3088" max="3091" width="13.140625" style="1" bestFit="1" customWidth="1"/>
    <col min="3092" max="3093" width="15.5703125" style="1" customWidth="1"/>
    <col min="3094" max="3094" width="11.42578125" style="1" bestFit="1" customWidth="1"/>
    <col min="3095" max="3095" width="12.5703125" style="1" bestFit="1" customWidth="1"/>
    <col min="3096" max="3096" width="8.85546875" style="1" bestFit="1" customWidth="1"/>
    <col min="3097" max="3097" width="14.140625" style="1" bestFit="1" customWidth="1"/>
    <col min="3098" max="3098" width="12.140625" style="1" customWidth="1"/>
    <col min="3099" max="3099" width="4.42578125" style="1" bestFit="1" customWidth="1"/>
    <col min="3100" max="3100" width="20.5703125" style="1" customWidth="1"/>
    <col min="3101" max="3101" width="10.42578125" style="1" bestFit="1" customWidth="1"/>
    <col min="3102" max="3102" width="9.85546875" style="1" customWidth="1"/>
    <col min="3103" max="3103" width="7.85546875" style="1" customWidth="1"/>
    <col min="3104" max="3104" width="9.5703125" style="1" customWidth="1"/>
    <col min="3105" max="3105" width="9.7109375" style="1" customWidth="1"/>
    <col min="3106" max="3106" width="10.42578125" style="1" customWidth="1"/>
    <col min="3107" max="3107" width="9.7109375" style="1" customWidth="1"/>
    <col min="3108" max="3108" width="8.28515625" style="1" customWidth="1"/>
    <col min="3109" max="3109" width="8.7109375" style="1" bestFit="1" customWidth="1"/>
    <col min="3110" max="3110" width="8.28515625" style="1" customWidth="1"/>
    <col min="3111" max="3111" width="10" style="1" customWidth="1"/>
    <col min="3112" max="3112" width="8.7109375" style="1" customWidth="1"/>
    <col min="3113" max="3113" width="10.42578125" style="1" customWidth="1"/>
    <col min="3114" max="3114" width="11.85546875" style="1" customWidth="1"/>
    <col min="3115" max="3115" width="7.42578125" style="1" bestFit="1" customWidth="1"/>
    <col min="3116" max="3116" width="8.42578125" style="1" bestFit="1" customWidth="1"/>
    <col min="3117" max="3117" width="10.42578125" style="1" customWidth="1"/>
    <col min="3118" max="3328" width="10" style="1"/>
    <col min="3329" max="3329" width="11.7109375" style="1" customWidth="1"/>
    <col min="3330" max="3330" width="13.5703125" style="1" customWidth="1"/>
    <col min="3331" max="3331" width="12.7109375" style="1" customWidth="1"/>
    <col min="3332" max="3332" width="13.140625" style="1" bestFit="1" customWidth="1"/>
    <col min="3333" max="3333" width="13" style="1" customWidth="1"/>
    <col min="3334" max="3334" width="15.28515625" style="1" bestFit="1" customWidth="1"/>
    <col min="3335" max="3335" width="11.7109375" style="1" bestFit="1" customWidth="1"/>
    <col min="3336" max="3336" width="13.140625" style="1" customWidth="1"/>
    <col min="3337" max="3337" width="9" style="1" bestFit="1" customWidth="1"/>
    <col min="3338" max="3338" width="11.7109375" style="1" customWidth="1"/>
    <col min="3339" max="3339" width="8.140625" style="1" customWidth="1"/>
    <col min="3340" max="3340" width="8.140625" style="1" bestFit="1" customWidth="1"/>
    <col min="3341" max="3341" width="15.5703125" style="1" customWidth="1"/>
    <col min="3342" max="3342" width="11.5703125" style="1" bestFit="1" customWidth="1"/>
    <col min="3343" max="3343" width="13.28515625" style="1" bestFit="1" customWidth="1"/>
    <col min="3344" max="3347" width="13.140625" style="1" bestFit="1" customWidth="1"/>
    <col min="3348" max="3349" width="15.5703125" style="1" customWidth="1"/>
    <col min="3350" max="3350" width="11.42578125" style="1" bestFit="1" customWidth="1"/>
    <col min="3351" max="3351" width="12.5703125" style="1" bestFit="1" customWidth="1"/>
    <col min="3352" max="3352" width="8.85546875" style="1" bestFit="1" customWidth="1"/>
    <col min="3353" max="3353" width="14.140625" style="1" bestFit="1" customWidth="1"/>
    <col min="3354" max="3354" width="12.140625" style="1" customWidth="1"/>
    <col min="3355" max="3355" width="4.42578125" style="1" bestFit="1" customWidth="1"/>
    <col min="3356" max="3356" width="20.5703125" style="1" customWidth="1"/>
    <col min="3357" max="3357" width="10.42578125" style="1" bestFit="1" customWidth="1"/>
    <col min="3358" max="3358" width="9.85546875" style="1" customWidth="1"/>
    <col min="3359" max="3359" width="7.85546875" style="1" customWidth="1"/>
    <col min="3360" max="3360" width="9.5703125" style="1" customWidth="1"/>
    <col min="3361" max="3361" width="9.7109375" style="1" customWidth="1"/>
    <col min="3362" max="3362" width="10.42578125" style="1" customWidth="1"/>
    <col min="3363" max="3363" width="9.7109375" style="1" customWidth="1"/>
    <col min="3364" max="3364" width="8.28515625" style="1" customWidth="1"/>
    <col min="3365" max="3365" width="8.7109375" style="1" bestFit="1" customWidth="1"/>
    <col min="3366" max="3366" width="8.28515625" style="1" customWidth="1"/>
    <col min="3367" max="3367" width="10" style="1" customWidth="1"/>
    <col min="3368" max="3368" width="8.7109375" style="1" customWidth="1"/>
    <col min="3369" max="3369" width="10.42578125" style="1" customWidth="1"/>
    <col min="3370" max="3370" width="11.85546875" style="1" customWidth="1"/>
    <col min="3371" max="3371" width="7.42578125" style="1" bestFit="1" customWidth="1"/>
    <col min="3372" max="3372" width="8.42578125" style="1" bestFit="1" customWidth="1"/>
    <col min="3373" max="3373" width="10.42578125" style="1" customWidth="1"/>
    <col min="3374" max="3584" width="10" style="1"/>
    <col min="3585" max="3585" width="11.7109375" style="1" customWidth="1"/>
    <col min="3586" max="3586" width="13.5703125" style="1" customWidth="1"/>
    <col min="3587" max="3587" width="12.7109375" style="1" customWidth="1"/>
    <col min="3588" max="3588" width="13.140625" style="1" bestFit="1" customWidth="1"/>
    <col min="3589" max="3589" width="13" style="1" customWidth="1"/>
    <col min="3590" max="3590" width="15.28515625" style="1" bestFit="1" customWidth="1"/>
    <col min="3591" max="3591" width="11.7109375" style="1" bestFit="1" customWidth="1"/>
    <col min="3592" max="3592" width="13.140625" style="1" customWidth="1"/>
    <col min="3593" max="3593" width="9" style="1" bestFit="1" customWidth="1"/>
    <col min="3594" max="3594" width="11.7109375" style="1" customWidth="1"/>
    <col min="3595" max="3595" width="8.140625" style="1" customWidth="1"/>
    <col min="3596" max="3596" width="8.140625" style="1" bestFit="1" customWidth="1"/>
    <col min="3597" max="3597" width="15.5703125" style="1" customWidth="1"/>
    <col min="3598" max="3598" width="11.5703125" style="1" bestFit="1" customWidth="1"/>
    <col min="3599" max="3599" width="13.28515625" style="1" bestFit="1" customWidth="1"/>
    <col min="3600" max="3603" width="13.140625" style="1" bestFit="1" customWidth="1"/>
    <col min="3604" max="3605" width="15.5703125" style="1" customWidth="1"/>
    <col min="3606" max="3606" width="11.42578125" style="1" bestFit="1" customWidth="1"/>
    <col min="3607" max="3607" width="12.5703125" style="1" bestFit="1" customWidth="1"/>
    <col min="3608" max="3608" width="8.85546875" style="1" bestFit="1" customWidth="1"/>
    <col min="3609" max="3609" width="14.140625" style="1" bestFit="1" customWidth="1"/>
    <col min="3610" max="3610" width="12.140625" style="1" customWidth="1"/>
    <col min="3611" max="3611" width="4.42578125" style="1" bestFit="1" customWidth="1"/>
    <col min="3612" max="3612" width="20.5703125" style="1" customWidth="1"/>
    <col min="3613" max="3613" width="10.42578125" style="1" bestFit="1" customWidth="1"/>
    <col min="3614" max="3614" width="9.85546875" style="1" customWidth="1"/>
    <col min="3615" max="3615" width="7.85546875" style="1" customWidth="1"/>
    <col min="3616" max="3616" width="9.5703125" style="1" customWidth="1"/>
    <col min="3617" max="3617" width="9.7109375" style="1" customWidth="1"/>
    <col min="3618" max="3618" width="10.42578125" style="1" customWidth="1"/>
    <col min="3619" max="3619" width="9.7109375" style="1" customWidth="1"/>
    <col min="3620" max="3620" width="8.28515625" style="1" customWidth="1"/>
    <col min="3621" max="3621" width="8.7109375" style="1" bestFit="1" customWidth="1"/>
    <col min="3622" max="3622" width="8.28515625" style="1" customWidth="1"/>
    <col min="3623" max="3623" width="10" style="1" customWidth="1"/>
    <col min="3624" max="3624" width="8.7109375" style="1" customWidth="1"/>
    <col min="3625" max="3625" width="10.42578125" style="1" customWidth="1"/>
    <col min="3626" max="3626" width="11.85546875" style="1" customWidth="1"/>
    <col min="3627" max="3627" width="7.42578125" style="1" bestFit="1" customWidth="1"/>
    <col min="3628" max="3628" width="8.42578125" style="1" bestFit="1" customWidth="1"/>
    <col min="3629" max="3629" width="10.42578125" style="1" customWidth="1"/>
    <col min="3630" max="3840" width="10" style="1"/>
    <col min="3841" max="3841" width="11.7109375" style="1" customWidth="1"/>
    <col min="3842" max="3842" width="13.5703125" style="1" customWidth="1"/>
    <col min="3843" max="3843" width="12.7109375" style="1" customWidth="1"/>
    <col min="3844" max="3844" width="13.140625" style="1" bestFit="1" customWidth="1"/>
    <col min="3845" max="3845" width="13" style="1" customWidth="1"/>
    <col min="3846" max="3846" width="15.28515625" style="1" bestFit="1" customWidth="1"/>
    <col min="3847" max="3847" width="11.7109375" style="1" bestFit="1" customWidth="1"/>
    <col min="3848" max="3848" width="13.140625" style="1" customWidth="1"/>
    <col min="3849" max="3849" width="9" style="1" bestFit="1" customWidth="1"/>
    <col min="3850" max="3850" width="11.7109375" style="1" customWidth="1"/>
    <col min="3851" max="3851" width="8.140625" style="1" customWidth="1"/>
    <col min="3852" max="3852" width="8.140625" style="1" bestFit="1" customWidth="1"/>
    <col min="3853" max="3853" width="15.5703125" style="1" customWidth="1"/>
    <col min="3854" max="3854" width="11.5703125" style="1" bestFit="1" customWidth="1"/>
    <col min="3855" max="3855" width="13.28515625" style="1" bestFit="1" customWidth="1"/>
    <col min="3856" max="3859" width="13.140625" style="1" bestFit="1" customWidth="1"/>
    <col min="3860" max="3861" width="15.5703125" style="1" customWidth="1"/>
    <col min="3862" max="3862" width="11.42578125" style="1" bestFit="1" customWidth="1"/>
    <col min="3863" max="3863" width="12.5703125" style="1" bestFit="1" customWidth="1"/>
    <col min="3864" max="3864" width="8.85546875" style="1" bestFit="1" customWidth="1"/>
    <col min="3865" max="3865" width="14.140625" style="1" bestFit="1" customWidth="1"/>
    <col min="3866" max="3866" width="12.140625" style="1" customWidth="1"/>
    <col min="3867" max="3867" width="4.42578125" style="1" bestFit="1" customWidth="1"/>
    <col min="3868" max="3868" width="20.5703125" style="1" customWidth="1"/>
    <col min="3869" max="3869" width="10.42578125" style="1" bestFit="1" customWidth="1"/>
    <col min="3870" max="3870" width="9.85546875" style="1" customWidth="1"/>
    <col min="3871" max="3871" width="7.85546875" style="1" customWidth="1"/>
    <col min="3872" max="3872" width="9.5703125" style="1" customWidth="1"/>
    <col min="3873" max="3873" width="9.7109375" style="1" customWidth="1"/>
    <col min="3874" max="3874" width="10.42578125" style="1" customWidth="1"/>
    <col min="3875" max="3875" width="9.7109375" style="1" customWidth="1"/>
    <col min="3876" max="3876" width="8.28515625" style="1" customWidth="1"/>
    <col min="3877" max="3877" width="8.7109375" style="1" bestFit="1" customWidth="1"/>
    <col min="3878" max="3878" width="8.28515625" style="1" customWidth="1"/>
    <col min="3879" max="3879" width="10" style="1" customWidth="1"/>
    <col min="3880" max="3880" width="8.7109375" style="1" customWidth="1"/>
    <col min="3881" max="3881" width="10.42578125" style="1" customWidth="1"/>
    <col min="3882" max="3882" width="11.85546875" style="1" customWidth="1"/>
    <col min="3883" max="3883" width="7.42578125" style="1" bestFit="1" customWidth="1"/>
    <col min="3884" max="3884" width="8.42578125" style="1" bestFit="1" customWidth="1"/>
    <col min="3885" max="3885" width="10.42578125" style="1" customWidth="1"/>
    <col min="3886" max="4096" width="10" style="1"/>
    <col min="4097" max="4097" width="11.7109375" style="1" customWidth="1"/>
    <col min="4098" max="4098" width="13.5703125" style="1" customWidth="1"/>
    <col min="4099" max="4099" width="12.7109375" style="1" customWidth="1"/>
    <col min="4100" max="4100" width="13.140625" style="1" bestFit="1" customWidth="1"/>
    <col min="4101" max="4101" width="13" style="1" customWidth="1"/>
    <col min="4102" max="4102" width="15.28515625" style="1" bestFit="1" customWidth="1"/>
    <col min="4103" max="4103" width="11.7109375" style="1" bestFit="1" customWidth="1"/>
    <col min="4104" max="4104" width="13.140625" style="1" customWidth="1"/>
    <col min="4105" max="4105" width="9" style="1" bestFit="1" customWidth="1"/>
    <col min="4106" max="4106" width="11.7109375" style="1" customWidth="1"/>
    <col min="4107" max="4107" width="8.140625" style="1" customWidth="1"/>
    <col min="4108" max="4108" width="8.140625" style="1" bestFit="1" customWidth="1"/>
    <col min="4109" max="4109" width="15.5703125" style="1" customWidth="1"/>
    <col min="4110" max="4110" width="11.5703125" style="1" bestFit="1" customWidth="1"/>
    <col min="4111" max="4111" width="13.28515625" style="1" bestFit="1" customWidth="1"/>
    <col min="4112" max="4115" width="13.140625" style="1" bestFit="1" customWidth="1"/>
    <col min="4116" max="4117" width="15.5703125" style="1" customWidth="1"/>
    <col min="4118" max="4118" width="11.42578125" style="1" bestFit="1" customWidth="1"/>
    <col min="4119" max="4119" width="12.5703125" style="1" bestFit="1" customWidth="1"/>
    <col min="4120" max="4120" width="8.85546875" style="1" bestFit="1" customWidth="1"/>
    <col min="4121" max="4121" width="14.140625" style="1" bestFit="1" customWidth="1"/>
    <col min="4122" max="4122" width="12.140625" style="1" customWidth="1"/>
    <col min="4123" max="4123" width="4.42578125" style="1" bestFit="1" customWidth="1"/>
    <col min="4124" max="4124" width="20.5703125" style="1" customWidth="1"/>
    <col min="4125" max="4125" width="10.42578125" style="1" bestFit="1" customWidth="1"/>
    <col min="4126" max="4126" width="9.85546875" style="1" customWidth="1"/>
    <col min="4127" max="4127" width="7.85546875" style="1" customWidth="1"/>
    <col min="4128" max="4128" width="9.5703125" style="1" customWidth="1"/>
    <col min="4129" max="4129" width="9.7109375" style="1" customWidth="1"/>
    <col min="4130" max="4130" width="10.42578125" style="1" customWidth="1"/>
    <col min="4131" max="4131" width="9.7109375" style="1" customWidth="1"/>
    <col min="4132" max="4132" width="8.28515625" style="1" customWidth="1"/>
    <col min="4133" max="4133" width="8.7109375" style="1" bestFit="1" customWidth="1"/>
    <col min="4134" max="4134" width="8.28515625" style="1" customWidth="1"/>
    <col min="4135" max="4135" width="10" style="1" customWidth="1"/>
    <col min="4136" max="4136" width="8.7109375" style="1" customWidth="1"/>
    <col min="4137" max="4137" width="10.42578125" style="1" customWidth="1"/>
    <col min="4138" max="4138" width="11.85546875" style="1" customWidth="1"/>
    <col min="4139" max="4139" width="7.42578125" style="1" bestFit="1" customWidth="1"/>
    <col min="4140" max="4140" width="8.42578125" style="1" bestFit="1" customWidth="1"/>
    <col min="4141" max="4141" width="10.42578125" style="1" customWidth="1"/>
    <col min="4142" max="4352" width="10" style="1"/>
    <col min="4353" max="4353" width="11.7109375" style="1" customWidth="1"/>
    <col min="4354" max="4354" width="13.5703125" style="1" customWidth="1"/>
    <col min="4355" max="4355" width="12.7109375" style="1" customWidth="1"/>
    <col min="4356" max="4356" width="13.140625" style="1" bestFit="1" customWidth="1"/>
    <col min="4357" max="4357" width="13" style="1" customWidth="1"/>
    <col min="4358" max="4358" width="15.28515625" style="1" bestFit="1" customWidth="1"/>
    <col min="4359" max="4359" width="11.7109375" style="1" bestFit="1" customWidth="1"/>
    <col min="4360" max="4360" width="13.140625" style="1" customWidth="1"/>
    <col min="4361" max="4361" width="9" style="1" bestFit="1" customWidth="1"/>
    <col min="4362" max="4362" width="11.7109375" style="1" customWidth="1"/>
    <col min="4363" max="4363" width="8.140625" style="1" customWidth="1"/>
    <col min="4364" max="4364" width="8.140625" style="1" bestFit="1" customWidth="1"/>
    <col min="4365" max="4365" width="15.5703125" style="1" customWidth="1"/>
    <col min="4366" max="4366" width="11.5703125" style="1" bestFit="1" customWidth="1"/>
    <col min="4367" max="4367" width="13.28515625" style="1" bestFit="1" customWidth="1"/>
    <col min="4368" max="4371" width="13.140625" style="1" bestFit="1" customWidth="1"/>
    <col min="4372" max="4373" width="15.5703125" style="1" customWidth="1"/>
    <col min="4374" max="4374" width="11.42578125" style="1" bestFit="1" customWidth="1"/>
    <col min="4375" max="4375" width="12.5703125" style="1" bestFit="1" customWidth="1"/>
    <col min="4376" max="4376" width="8.85546875" style="1" bestFit="1" customWidth="1"/>
    <col min="4377" max="4377" width="14.140625" style="1" bestFit="1" customWidth="1"/>
    <col min="4378" max="4378" width="12.140625" style="1" customWidth="1"/>
    <col min="4379" max="4379" width="4.42578125" style="1" bestFit="1" customWidth="1"/>
    <col min="4380" max="4380" width="20.5703125" style="1" customWidth="1"/>
    <col min="4381" max="4381" width="10.42578125" style="1" bestFit="1" customWidth="1"/>
    <col min="4382" max="4382" width="9.85546875" style="1" customWidth="1"/>
    <col min="4383" max="4383" width="7.85546875" style="1" customWidth="1"/>
    <col min="4384" max="4384" width="9.5703125" style="1" customWidth="1"/>
    <col min="4385" max="4385" width="9.7109375" style="1" customWidth="1"/>
    <col min="4386" max="4386" width="10.42578125" style="1" customWidth="1"/>
    <col min="4387" max="4387" width="9.7109375" style="1" customWidth="1"/>
    <col min="4388" max="4388" width="8.28515625" style="1" customWidth="1"/>
    <col min="4389" max="4389" width="8.7109375" style="1" bestFit="1" customWidth="1"/>
    <col min="4390" max="4390" width="8.28515625" style="1" customWidth="1"/>
    <col min="4391" max="4391" width="10" style="1" customWidth="1"/>
    <col min="4392" max="4392" width="8.7109375" style="1" customWidth="1"/>
    <col min="4393" max="4393" width="10.42578125" style="1" customWidth="1"/>
    <col min="4394" max="4394" width="11.85546875" style="1" customWidth="1"/>
    <col min="4395" max="4395" width="7.42578125" style="1" bestFit="1" customWidth="1"/>
    <col min="4396" max="4396" width="8.42578125" style="1" bestFit="1" customWidth="1"/>
    <col min="4397" max="4397" width="10.42578125" style="1" customWidth="1"/>
    <col min="4398" max="4608" width="10" style="1"/>
    <col min="4609" max="4609" width="11.7109375" style="1" customWidth="1"/>
    <col min="4610" max="4610" width="13.5703125" style="1" customWidth="1"/>
    <col min="4611" max="4611" width="12.7109375" style="1" customWidth="1"/>
    <col min="4612" max="4612" width="13.140625" style="1" bestFit="1" customWidth="1"/>
    <col min="4613" max="4613" width="13" style="1" customWidth="1"/>
    <col min="4614" max="4614" width="15.28515625" style="1" bestFit="1" customWidth="1"/>
    <col min="4615" max="4615" width="11.7109375" style="1" bestFit="1" customWidth="1"/>
    <col min="4616" max="4616" width="13.140625" style="1" customWidth="1"/>
    <col min="4617" max="4617" width="9" style="1" bestFit="1" customWidth="1"/>
    <col min="4618" max="4618" width="11.7109375" style="1" customWidth="1"/>
    <col min="4619" max="4619" width="8.140625" style="1" customWidth="1"/>
    <col min="4620" max="4620" width="8.140625" style="1" bestFit="1" customWidth="1"/>
    <col min="4621" max="4621" width="15.5703125" style="1" customWidth="1"/>
    <col min="4622" max="4622" width="11.5703125" style="1" bestFit="1" customWidth="1"/>
    <col min="4623" max="4623" width="13.28515625" style="1" bestFit="1" customWidth="1"/>
    <col min="4624" max="4627" width="13.140625" style="1" bestFit="1" customWidth="1"/>
    <col min="4628" max="4629" width="15.5703125" style="1" customWidth="1"/>
    <col min="4630" max="4630" width="11.42578125" style="1" bestFit="1" customWidth="1"/>
    <col min="4631" max="4631" width="12.5703125" style="1" bestFit="1" customWidth="1"/>
    <col min="4632" max="4632" width="8.85546875" style="1" bestFit="1" customWidth="1"/>
    <col min="4633" max="4633" width="14.140625" style="1" bestFit="1" customWidth="1"/>
    <col min="4634" max="4634" width="12.140625" style="1" customWidth="1"/>
    <col min="4635" max="4635" width="4.42578125" style="1" bestFit="1" customWidth="1"/>
    <col min="4636" max="4636" width="20.5703125" style="1" customWidth="1"/>
    <col min="4637" max="4637" width="10.42578125" style="1" bestFit="1" customWidth="1"/>
    <col min="4638" max="4638" width="9.85546875" style="1" customWidth="1"/>
    <col min="4639" max="4639" width="7.85546875" style="1" customWidth="1"/>
    <col min="4640" max="4640" width="9.5703125" style="1" customWidth="1"/>
    <col min="4641" max="4641" width="9.7109375" style="1" customWidth="1"/>
    <col min="4642" max="4642" width="10.42578125" style="1" customWidth="1"/>
    <col min="4643" max="4643" width="9.7109375" style="1" customWidth="1"/>
    <col min="4644" max="4644" width="8.28515625" style="1" customWidth="1"/>
    <col min="4645" max="4645" width="8.7109375" style="1" bestFit="1" customWidth="1"/>
    <col min="4646" max="4646" width="8.28515625" style="1" customWidth="1"/>
    <col min="4647" max="4647" width="10" style="1" customWidth="1"/>
    <col min="4648" max="4648" width="8.7109375" style="1" customWidth="1"/>
    <col min="4649" max="4649" width="10.42578125" style="1" customWidth="1"/>
    <col min="4650" max="4650" width="11.85546875" style="1" customWidth="1"/>
    <col min="4651" max="4651" width="7.42578125" style="1" bestFit="1" customWidth="1"/>
    <col min="4652" max="4652" width="8.42578125" style="1" bestFit="1" customWidth="1"/>
    <col min="4653" max="4653" width="10.42578125" style="1" customWidth="1"/>
    <col min="4654" max="4864" width="10" style="1"/>
    <col min="4865" max="4865" width="11.7109375" style="1" customWidth="1"/>
    <col min="4866" max="4866" width="13.5703125" style="1" customWidth="1"/>
    <col min="4867" max="4867" width="12.7109375" style="1" customWidth="1"/>
    <col min="4868" max="4868" width="13.140625" style="1" bestFit="1" customWidth="1"/>
    <col min="4869" max="4869" width="13" style="1" customWidth="1"/>
    <col min="4870" max="4870" width="15.28515625" style="1" bestFit="1" customWidth="1"/>
    <col min="4871" max="4871" width="11.7109375" style="1" bestFit="1" customWidth="1"/>
    <col min="4872" max="4872" width="13.140625" style="1" customWidth="1"/>
    <col min="4873" max="4873" width="9" style="1" bestFit="1" customWidth="1"/>
    <col min="4874" max="4874" width="11.7109375" style="1" customWidth="1"/>
    <col min="4875" max="4875" width="8.140625" style="1" customWidth="1"/>
    <col min="4876" max="4876" width="8.140625" style="1" bestFit="1" customWidth="1"/>
    <col min="4877" max="4877" width="15.5703125" style="1" customWidth="1"/>
    <col min="4878" max="4878" width="11.5703125" style="1" bestFit="1" customWidth="1"/>
    <col min="4879" max="4879" width="13.28515625" style="1" bestFit="1" customWidth="1"/>
    <col min="4880" max="4883" width="13.140625" style="1" bestFit="1" customWidth="1"/>
    <col min="4884" max="4885" width="15.5703125" style="1" customWidth="1"/>
    <col min="4886" max="4886" width="11.42578125" style="1" bestFit="1" customWidth="1"/>
    <col min="4887" max="4887" width="12.5703125" style="1" bestFit="1" customWidth="1"/>
    <col min="4888" max="4888" width="8.85546875" style="1" bestFit="1" customWidth="1"/>
    <col min="4889" max="4889" width="14.140625" style="1" bestFit="1" customWidth="1"/>
    <col min="4890" max="4890" width="12.140625" style="1" customWidth="1"/>
    <col min="4891" max="4891" width="4.42578125" style="1" bestFit="1" customWidth="1"/>
    <col min="4892" max="4892" width="20.5703125" style="1" customWidth="1"/>
    <col min="4893" max="4893" width="10.42578125" style="1" bestFit="1" customWidth="1"/>
    <col min="4894" max="4894" width="9.85546875" style="1" customWidth="1"/>
    <col min="4895" max="4895" width="7.85546875" style="1" customWidth="1"/>
    <col min="4896" max="4896" width="9.5703125" style="1" customWidth="1"/>
    <col min="4897" max="4897" width="9.7109375" style="1" customWidth="1"/>
    <col min="4898" max="4898" width="10.42578125" style="1" customWidth="1"/>
    <col min="4899" max="4899" width="9.7109375" style="1" customWidth="1"/>
    <col min="4900" max="4900" width="8.28515625" style="1" customWidth="1"/>
    <col min="4901" max="4901" width="8.7109375" style="1" bestFit="1" customWidth="1"/>
    <col min="4902" max="4902" width="8.28515625" style="1" customWidth="1"/>
    <col min="4903" max="4903" width="10" style="1" customWidth="1"/>
    <col min="4904" max="4904" width="8.7109375" style="1" customWidth="1"/>
    <col min="4905" max="4905" width="10.42578125" style="1" customWidth="1"/>
    <col min="4906" max="4906" width="11.85546875" style="1" customWidth="1"/>
    <col min="4907" max="4907" width="7.42578125" style="1" bestFit="1" customWidth="1"/>
    <col min="4908" max="4908" width="8.42578125" style="1" bestFit="1" customWidth="1"/>
    <col min="4909" max="4909" width="10.42578125" style="1" customWidth="1"/>
    <col min="4910" max="5120" width="10" style="1"/>
    <col min="5121" max="5121" width="11.7109375" style="1" customWidth="1"/>
    <col min="5122" max="5122" width="13.5703125" style="1" customWidth="1"/>
    <col min="5123" max="5123" width="12.7109375" style="1" customWidth="1"/>
    <col min="5124" max="5124" width="13.140625" style="1" bestFit="1" customWidth="1"/>
    <col min="5125" max="5125" width="13" style="1" customWidth="1"/>
    <col min="5126" max="5126" width="15.28515625" style="1" bestFit="1" customWidth="1"/>
    <col min="5127" max="5127" width="11.7109375" style="1" bestFit="1" customWidth="1"/>
    <col min="5128" max="5128" width="13.140625" style="1" customWidth="1"/>
    <col min="5129" max="5129" width="9" style="1" bestFit="1" customWidth="1"/>
    <col min="5130" max="5130" width="11.7109375" style="1" customWidth="1"/>
    <col min="5131" max="5131" width="8.140625" style="1" customWidth="1"/>
    <col min="5132" max="5132" width="8.140625" style="1" bestFit="1" customWidth="1"/>
    <col min="5133" max="5133" width="15.5703125" style="1" customWidth="1"/>
    <col min="5134" max="5134" width="11.5703125" style="1" bestFit="1" customWidth="1"/>
    <col min="5135" max="5135" width="13.28515625" style="1" bestFit="1" customWidth="1"/>
    <col min="5136" max="5139" width="13.140625" style="1" bestFit="1" customWidth="1"/>
    <col min="5140" max="5141" width="15.5703125" style="1" customWidth="1"/>
    <col min="5142" max="5142" width="11.42578125" style="1" bestFit="1" customWidth="1"/>
    <col min="5143" max="5143" width="12.5703125" style="1" bestFit="1" customWidth="1"/>
    <col min="5144" max="5144" width="8.85546875" style="1" bestFit="1" customWidth="1"/>
    <col min="5145" max="5145" width="14.140625" style="1" bestFit="1" customWidth="1"/>
    <col min="5146" max="5146" width="12.140625" style="1" customWidth="1"/>
    <col min="5147" max="5147" width="4.42578125" style="1" bestFit="1" customWidth="1"/>
    <col min="5148" max="5148" width="20.5703125" style="1" customWidth="1"/>
    <col min="5149" max="5149" width="10.42578125" style="1" bestFit="1" customWidth="1"/>
    <col min="5150" max="5150" width="9.85546875" style="1" customWidth="1"/>
    <col min="5151" max="5151" width="7.85546875" style="1" customWidth="1"/>
    <col min="5152" max="5152" width="9.5703125" style="1" customWidth="1"/>
    <col min="5153" max="5153" width="9.7109375" style="1" customWidth="1"/>
    <col min="5154" max="5154" width="10.42578125" style="1" customWidth="1"/>
    <col min="5155" max="5155" width="9.7109375" style="1" customWidth="1"/>
    <col min="5156" max="5156" width="8.28515625" style="1" customWidth="1"/>
    <col min="5157" max="5157" width="8.7109375" style="1" bestFit="1" customWidth="1"/>
    <col min="5158" max="5158" width="8.28515625" style="1" customWidth="1"/>
    <col min="5159" max="5159" width="10" style="1" customWidth="1"/>
    <col min="5160" max="5160" width="8.7109375" style="1" customWidth="1"/>
    <col min="5161" max="5161" width="10.42578125" style="1" customWidth="1"/>
    <col min="5162" max="5162" width="11.85546875" style="1" customWidth="1"/>
    <col min="5163" max="5163" width="7.42578125" style="1" bestFit="1" customWidth="1"/>
    <col min="5164" max="5164" width="8.42578125" style="1" bestFit="1" customWidth="1"/>
    <col min="5165" max="5165" width="10.42578125" style="1" customWidth="1"/>
    <col min="5166" max="5376" width="10" style="1"/>
    <col min="5377" max="5377" width="11.7109375" style="1" customWidth="1"/>
    <col min="5378" max="5378" width="13.5703125" style="1" customWidth="1"/>
    <col min="5379" max="5379" width="12.7109375" style="1" customWidth="1"/>
    <col min="5380" max="5380" width="13.140625" style="1" bestFit="1" customWidth="1"/>
    <col min="5381" max="5381" width="13" style="1" customWidth="1"/>
    <col min="5382" max="5382" width="15.28515625" style="1" bestFit="1" customWidth="1"/>
    <col min="5383" max="5383" width="11.7109375" style="1" bestFit="1" customWidth="1"/>
    <col min="5384" max="5384" width="13.140625" style="1" customWidth="1"/>
    <col min="5385" max="5385" width="9" style="1" bestFit="1" customWidth="1"/>
    <col min="5386" max="5386" width="11.7109375" style="1" customWidth="1"/>
    <col min="5387" max="5387" width="8.140625" style="1" customWidth="1"/>
    <col min="5388" max="5388" width="8.140625" style="1" bestFit="1" customWidth="1"/>
    <col min="5389" max="5389" width="15.5703125" style="1" customWidth="1"/>
    <col min="5390" max="5390" width="11.5703125" style="1" bestFit="1" customWidth="1"/>
    <col min="5391" max="5391" width="13.28515625" style="1" bestFit="1" customWidth="1"/>
    <col min="5392" max="5395" width="13.140625" style="1" bestFit="1" customWidth="1"/>
    <col min="5396" max="5397" width="15.5703125" style="1" customWidth="1"/>
    <col min="5398" max="5398" width="11.42578125" style="1" bestFit="1" customWidth="1"/>
    <col min="5399" max="5399" width="12.5703125" style="1" bestFit="1" customWidth="1"/>
    <col min="5400" max="5400" width="8.85546875" style="1" bestFit="1" customWidth="1"/>
    <col min="5401" max="5401" width="14.140625" style="1" bestFit="1" customWidth="1"/>
    <col min="5402" max="5402" width="12.140625" style="1" customWidth="1"/>
    <col min="5403" max="5403" width="4.42578125" style="1" bestFit="1" customWidth="1"/>
    <col min="5404" max="5404" width="20.5703125" style="1" customWidth="1"/>
    <col min="5405" max="5405" width="10.42578125" style="1" bestFit="1" customWidth="1"/>
    <col min="5406" max="5406" width="9.85546875" style="1" customWidth="1"/>
    <col min="5407" max="5407" width="7.85546875" style="1" customWidth="1"/>
    <col min="5408" max="5408" width="9.5703125" style="1" customWidth="1"/>
    <col min="5409" max="5409" width="9.7109375" style="1" customWidth="1"/>
    <col min="5410" max="5410" width="10.42578125" style="1" customWidth="1"/>
    <col min="5411" max="5411" width="9.7109375" style="1" customWidth="1"/>
    <col min="5412" max="5412" width="8.28515625" style="1" customWidth="1"/>
    <col min="5413" max="5413" width="8.7109375" style="1" bestFit="1" customWidth="1"/>
    <col min="5414" max="5414" width="8.28515625" style="1" customWidth="1"/>
    <col min="5415" max="5415" width="10" style="1" customWidth="1"/>
    <col min="5416" max="5416" width="8.7109375" style="1" customWidth="1"/>
    <col min="5417" max="5417" width="10.42578125" style="1" customWidth="1"/>
    <col min="5418" max="5418" width="11.85546875" style="1" customWidth="1"/>
    <col min="5419" max="5419" width="7.42578125" style="1" bestFit="1" customWidth="1"/>
    <col min="5420" max="5420" width="8.42578125" style="1" bestFit="1" customWidth="1"/>
    <col min="5421" max="5421" width="10.42578125" style="1" customWidth="1"/>
    <col min="5422" max="5632" width="10" style="1"/>
    <col min="5633" max="5633" width="11.7109375" style="1" customWidth="1"/>
    <col min="5634" max="5634" width="13.5703125" style="1" customWidth="1"/>
    <col min="5635" max="5635" width="12.7109375" style="1" customWidth="1"/>
    <col min="5636" max="5636" width="13.140625" style="1" bestFit="1" customWidth="1"/>
    <col min="5637" max="5637" width="13" style="1" customWidth="1"/>
    <col min="5638" max="5638" width="15.28515625" style="1" bestFit="1" customWidth="1"/>
    <col min="5639" max="5639" width="11.7109375" style="1" bestFit="1" customWidth="1"/>
    <col min="5640" max="5640" width="13.140625" style="1" customWidth="1"/>
    <col min="5641" max="5641" width="9" style="1" bestFit="1" customWidth="1"/>
    <col min="5642" max="5642" width="11.7109375" style="1" customWidth="1"/>
    <col min="5643" max="5643" width="8.140625" style="1" customWidth="1"/>
    <col min="5644" max="5644" width="8.140625" style="1" bestFit="1" customWidth="1"/>
    <col min="5645" max="5645" width="15.5703125" style="1" customWidth="1"/>
    <col min="5646" max="5646" width="11.5703125" style="1" bestFit="1" customWidth="1"/>
    <col min="5647" max="5647" width="13.28515625" style="1" bestFit="1" customWidth="1"/>
    <col min="5648" max="5651" width="13.140625" style="1" bestFit="1" customWidth="1"/>
    <col min="5652" max="5653" width="15.5703125" style="1" customWidth="1"/>
    <col min="5654" max="5654" width="11.42578125" style="1" bestFit="1" customWidth="1"/>
    <col min="5655" max="5655" width="12.5703125" style="1" bestFit="1" customWidth="1"/>
    <col min="5656" max="5656" width="8.85546875" style="1" bestFit="1" customWidth="1"/>
    <col min="5657" max="5657" width="14.140625" style="1" bestFit="1" customWidth="1"/>
    <col min="5658" max="5658" width="12.140625" style="1" customWidth="1"/>
    <col min="5659" max="5659" width="4.42578125" style="1" bestFit="1" customWidth="1"/>
    <col min="5660" max="5660" width="20.5703125" style="1" customWidth="1"/>
    <col min="5661" max="5661" width="10.42578125" style="1" bestFit="1" customWidth="1"/>
    <col min="5662" max="5662" width="9.85546875" style="1" customWidth="1"/>
    <col min="5663" max="5663" width="7.85546875" style="1" customWidth="1"/>
    <col min="5664" max="5664" width="9.5703125" style="1" customWidth="1"/>
    <col min="5665" max="5665" width="9.7109375" style="1" customWidth="1"/>
    <col min="5666" max="5666" width="10.42578125" style="1" customWidth="1"/>
    <col min="5667" max="5667" width="9.7109375" style="1" customWidth="1"/>
    <col min="5668" max="5668" width="8.28515625" style="1" customWidth="1"/>
    <col min="5669" max="5669" width="8.7109375" style="1" bestFit="1" customWidth="1"/>
    <col min="5670" max="5670" width="8.28515625" style="1" customWidth="1"/>
    <col min="5671" max="5671" width="10" style="1" customWidth="1"/>
    <col min="5672" max="5672" width="8.7109375" style="1" customWidth="1"/>
    <col min="5673" max="5673" width="10.42578125" style="1" customWidth="1"/>
    <col min="5674" max="5674" width="11.85546875" style="1" customWidth="1"/>
    <col min="5675" max="5675" width="7.42578125" style="1" bestFit="1" customWidth="1"/>
    <col min="5676" max="5676" width="8.42578125" style="1" bestFit="1" customWidth="1"/>
    <col min="5677" max="5677" width="10.42578125" style="1" customWidth="1"/>
    <col min="5678" max="5888" width="10" style="1"/>
    <col min="5889" max="5889" width="11.7109375" style="1" customWidth="1"/>
    <col min="5890" max="5890" width="13.5703125" style="1" customWidth="1"/>
    <col min="5891" max="5891" width="12.7109375" style="1" customWidth="1"/>
    <col min="5892" max="5892" width="13.140625" style="1" bestFit="1" customWidth="1"/>
    <col min="5893" max="5893" width="13" style="1" customWidth="1"/>
    <col min="5894" max="5894" width="15.28515625" style="1" bestFit="1" customWidth="1"/>
    <col min="5895" max="5895" width="11.7109375" style="1" bestFit="1" customWidth="1"/>
    <col min="5896" max="5896" width="13.140625" style="1" customWidth="1"/>
    <col min="5897" max="5897" width="9" style="1" bestFit="1" customWidth="1"/>
    <col min="5898" max="5898" width="11.7109375" style="1" customWidth="1"/>
    <col min="5899" max="5899" width="8.140625" style="1" customWidth="1"/>
    <col min="5900" max="5900" width="8.140625" style="1" bestFit="1" customWidth="1"/>
    <col min="5901" max="5901" width="15.5703125" style="1" customWidth="1"/>
    <col min="5902" max="5902" width="11.5703125" style="1" bestFit="1" customWidth="1"/>
    <col min="5903" max="5903" width="13.28515625" style="1" bestFit="1" customWidth="1"/>
    <col min="5904" max="5907" width="13.140625" style="1" bestFit="1" customWidth="1"/>
    <col min="5908" max="5909" width="15.5703125" style="1" customWidth="1"/>
    <col min="5910" max="5910" width="11.42578125" style="1" bestFit="1" customWidth="1"/>
    <col min="5911" max="5911" width="12.5703125" style="1" bestFit="1" customWidth="1"/>
    <col min="5912" max="5912" width="8.85546875" style="1" bestFit="1" customWidth="1"/>
    <col min="5913" max="5913" width="14.140625" style="1" bestFit="1" customWidth="1"/>
    <col min="5914" max="5914" width="12.140625" style="1" customWidth="1"/>
    <col min="5915" max="5915" width="4.42578125" style="1" bestFit="1" customWidth="1"/>
    <col min="5916" max="5916" width="20.5703125" style="1" customWidth="1"/>
    <col min="5917" max="5917" width="10.42578125" style="1" bestFit="1" customWidth="1"/>
    <col min="5918" max="5918" width="9.85546875" style="1" customWidth="1"/>
    <col min="5919" max="5919" width="7.85546875" style="1" customWidth="1"/>
    <col min="5920" max="5920" width="9.5703125" style="1" customWidth="1"/>
    <col min="5921" max="5921" width="9.7109375" style="1" customWidth="1"/>
    <col min="5922" max="5922" width="10.42578125" style="1" customWidth="1"/>
    <col min="5923" max="5923" width="9.7109375" style="1" customWidth="1"/>
    <col min="5924" max="5924" width="8.28515625" style="1" customWidth="1"/>
    <col min="5925" max="5925" width="8.7109375" style="1" bestFit="1" customWidth="1"/>
    <col min="5926" max="5926" width="8.28515625" style="1" customWidth="1"/>
    <col min="5927" max="5927" width="10" style="1" customWidth="1"/>
    <col min="5928" max="5928" width="8.7109375" style="1" customWidth="1"/>
    <col min="5929" max="5929" width="10.42578125" style="1" customWidth="1"/>
    <col min="5930" max="5930" width="11.85546875" style="1" customWidth="1"/>
    <col min="5931" max="5931" width="7.42578125" style="1" bestFit="1" customWidth="1"/>
    <col min="5932" max="5932" width="8.42578125" style="1" bestFit="1" customWidth="1"/>
    <col min="5933" max="5933" width="10.42578125" style="1" customWidth="1"/>
    <col min="5934" max="6144" width="10" style="1"/>
    <col min="6145" max="6145" width="11.7109375" style="1" customWidth="1"/>
    <col min="6146" max="6146" width="13.5703125" style="1" customWidth="1"/>
    <col min="6147" max="6147" width="12.7109375" style="1" customWidth="1"/>
    <col min="6148" max="6148" width="13.140625" style="1" bestFit="1" customWidth="1"/>
    <col min="6149" max="6149" width="13" style="1" customWidth="1"/>
    <col min="6150" max="6150" width="15.28515625" style="1" bestFit="1" customWidth="1"/>
    <col min="6151" max="6151" width="11.7109375" style="1" bestFit="1" customWidth="1"/>
    <col min="6152" max="6152" width="13.140625" style="1" customWidth="1"/>
    <col min="6153" max="6153" width="9" style="1" bestFit="1" customWidth="1"/>
    <col min="6154" max="6154" width="11.7109375" style="1" customWidth="1"/>
    <col min="6155" max="6155" width="8.140625" style="1" customWidth="1"/>
    <col min="6156" max="6156" width="8.140625" style="1" bestFit="1" customWidth="1"/>
    <col min="6157" max="6157" width="15.5703125" style="1" customWidth="1"/>
    <col min="6158" max="6158" width="11.5703125" style="1" bestFit="1" customWidth="1"/>
    <col min="6159" max="6159" width="13.28515625" style="1" bestFit="1" customWidth="1"/>
    <col min="6160" max="6163" width="13.140625" style="1" bestFit="1" customWidth="1"/>
    <col min="6164" max="6165" width="15.5703125" style="1" customWidth="1"/>
    <col min="6166" max="6166" width="11.42578125" style="1" bestFit="1" customWidth="1"/>
    <col min="6167" max="6167" width="12.5703125" style="1" bestFit="1" customWidth="1"/>
    <col min="6168" max="6168" width="8.85546875" style="1" bestFit="1" customWidth="1"/>
    <col min="6169" max="6169" width="14.140625" style="1" bestFit="1" customWidth="1"/>
    <col min="6170" max="6170" width="12.140625" style="1" customWidth="1"/>
    <col min="6171" max="6171" width="4.42578125" style="1" bestFit="1" customWidth="1"/>
    <col min="6172" max="6172" width="20.5703125" style="1" customWidth="1"/>
    <col min="6173" max="6173" width="10.42578125" style="1" bestFit="1" customWidth="1"/>
    <col min="6174" max="6174" width="9.85546875" style="1" customWidth="1"/>
    <col min="6175" max="6175" width="7.85546875" style="1" customWidth="1"/>
    <col min="6176" max="6176" width="9.5703125" style="1" customWidth="1"/>
    <col min="6177" max="6177" width="9.7109375" style="1" customWidth="1"/>
    <col min="6178" max="6178" width="10.42578125" style="1" customWidth="1"/>
    <col min="6179" max="6179" width="9.7109375" style="1" customWidth="1"/>
    <col min="6180" max="6180" width="8.28515625" style="1" customWidth="1"/>
    <col min="6181" max="6181" width="8.7109375" style="1" bestFit="1" customWidth="1"/>
    <col min="6182" max="6182" width="8.28515625" style="1" customWidth="1"/>
    <col min="6183" max="6183" width="10" style="1" customWidth="1"/>
    <col min="6184" max="6184" width="8.7109375" style="1" customWidth="1"/>
    <col min="6185" max="6185" width="10.42578125" style="1" customWidth="1"/>
    <col min="6186" max="6186" width="11.85546875" style="1" customWidth="1"/>
    <col min="6187" max="6187" width="7.42578125" style="1" bestFit="1" customWidth="1"/>
    <col min="6188" max="6188" width="8.42578125" style="1" bestFit="1" customWidth="1"/>
    <col min="6189" max="6189" width="10.42578125" style="1" customWidth="1"/>
    <col min="6190" max="6400" width="10" style="1"/>
    <col min="6401" max="6401" width="11.7109375" style="1" customWidth="1"/>
    <col min="6402" max="6402" width="13.5703125" style="1" customWidth="1"/>
    <col min="6403" max="6403" width="12.7109375" style="1" customWidth="1"/>
    <col min="6404" max="6404" width="13.140625" style="1" bestFit="1" customWidth="1"/>
    <col min="6405" max="6405" width="13" style="1" customWidth="1"/>
    <col min="6406" max="6406" width="15.28515625" style="1" bestFit="1" customWidth="1"/>
    <col min="6407" max="6407" width="11.7109375" style="1" bestFit="1" customWidth="1"/>
    <col min="6408" max="6408" width="13.140625" style="1" customWidth="1"/>
    <col min="6409" max="6409" width="9" style="1" bestFit="1" customWidth="1"/>
    <col min="6410" max="6410" width="11.7109375" style="1" customWidth="1"/>
    <col min="6411" max="6411" width="8.140625" style="1" customWidth="1"/>
    <col min="6412" max="6412" width="8.140625" style="1" bestFit="1" customWidth="1"/>
    <col min="6413" max="6413" width="15.5703125" style="1" customWidth="1"/>
    <col min="6414" max="6414" width="11.5703125" style="1" bestFit="1" customWidth="1"/>
    <col min="6415" max="6415" width="13.28515625" style="1" bestFit="1" customWidth="1"/>
    <col min="6416" max="6419" width="13.140625" style="1" bestFit="1" customWidth="1"/>
    <col min="6420" max="6421" width="15.5703125" style="1" customWidth="1"/>
    <col min="6422" max="6422" width="11.42578125" style="1" bestFit="1" customWidth="1"/>
    <col min="6423" max="6423" width="12.5703125" style="1" bestFit="1" customWidth="1"/>
    <col min="6424" max="6424" width="8.85546875" style="1" bestFit="1" customWidth="1"/>
    <col min="6425" max="6425" width="14.140625" style="1" bestFit="1" customWidth="1"/>
    <col min="6426" max="6426" width="12.140625" style="1" customWidth="1"/>
    <col min="6427" max="6427" width="4.42578125" style="1" bestFit="1" customWidth="1"/>
    <col min="6428" max="6428" width="20.5703125" style="1" customWidth="1"/>
    <col min="6429" max="6429" width="10.42578125" style="1" bestFit="1" customWidth="1"/>
    <col min="6430" max="6430" width="9.85546875" style="1" customWidth="1"/>
    <col min="6431" max="6431" width="7.85546875" style="1" customWidth="1"/>
    <col min="6432" max="6432" width="9.5703125" style="1" customWidth="1"/>
    <col min="6433" max="6433" width="9.7109375" style="1" customWidth="1"/>
    <col min="6434" max="6434" width="10.42578125" style="1" customWidth="1"/>
    <col min="6435" max="6435" width="9.7109375" style="1" customWidth="1"/>
    <col min="6436" max="6436" width="8.28515625" style="1" customWidth="1"/>
    <col min="6437" max="6437" width="8.7109375" style="1" bestFit="1" customWidth="1"/>
    <col min="6438" max="6438" width="8.28515625" style="1" customWidth="1"/>
    <col min="6439" max="6439" width="10" style="1" customWidth="1"/>
    <col min="6440" max="6440" width="8.7109375" style="1" customWidth="1"/>
    <col min="6441" max="6441" width="10.42578125" style="1" customWidth="1"/>
    <col min="6442" max="6442" width="11.85546875" style="1" customWidth="1"/>
    <col min="6443" max="6443" width="7.42578125" style="1" bestFit="1" customWidth="1"/>
    <col min="6444" max="6444" width="8.42578125" style="1" bestFit="1" customWidth="1"/>
    <col min="6445" max="6445" width="10.42578125" style="1" customWidth="1"/>
    <col min="6446" max="6656" width="10" style="1"/>
    <col min="6657" max="6657" width="11.7109375" style="1" customWidth="1"/>
    <col min="6658" max="6658" width="13.5703125" style="1" customWidth="1"/>
    <col min="6659" max="6659" width="12.7109375" style="1" customWidth="1"/>
    <col min="6660" max="6660" width="13.140625" style="1" bestFit="1" customWidth="1"/>
    <col min="6661" max="6661" width="13" style="1" customWidth="1"/>
    <col min="6662" max="6662" width="15.28515625" style="1" bestFit="1" customWidth="1"/>
    <col min="6663" max="6663" width="11.7109375" style="1" bestFit="1" customWidth="1"/>
    <col min="6664" max="6664" width="13.140625" style="1" customWidth="1"/>
    <col min="6665" max="6665" width="9" style="1" bestFit="1" customWidth="1"/>
    <col min="6666" max="6666" width="11.7109375" style="1" customWidth="1"/>
    <col min="6667" max="6667" width="8.140625" style="1" customWidth="1"/>
    <col min="6668" max="6668" width="8.140625" style="1" bestFit="1" customWidth="1"/>
    <col min="6669" max="6669" width="15.5703125" style="1" customWidth="1"/>
    <col min="6670" max="6670" width="11.5703125" style="1" bestFit="1" customWidth="1"/>
    <col min="6671" max="6671" width="13.28515625" style="1" bestFit="1" customWidth="1"/>
    <col min="6672" max="6675" width="13.140625" style="1" bestFit="1" customWidth="1"/>
    <col min="6676" max="6677" width="15.5703125" style="1" customWidth="1"/>
    <col min="6678" max="6678" width="11.42578125" style="1" bestFit="1" customWidth="1"/>
    <col min="6679" max="6679" width="12.5703125" style="1" bestFit="1" customWidth="1"/>
    <col min="6680" max="6680" width="8.85546875" style="1" bestFit="1" customWidth="1"/>
    <col min="6681" max="6681" width="14.140625" style="1" bestFit="1" customWidth="1"/>
    <col min="6682" max="6682" width="12.140625" style="1" customWidth="1"/>
    <col min="6683" max="6683" width="4.42578125" style="1" bestFit="1" customWidth="1"/>
    <col min="6684" max="6684" width="20.5703125" style="1" customWidth="1"/>
    <col min="6685" max="6685" width="10.42578125" style="1" bestFit="1" customWidth="1"/>
    <col min="6686" max="6686" width="9.85546875" style="1" customWidth="1"/>
    <col min="6687" max="6687" width="7.85546875" style="1" customWidth="1"/>
    <col min="6688" max="6688" width="9.5703125" style="1" customWidth="1"/>
    <col min="6689" max="6689" width="9.7109375" style="1" customWidth="1"/>
    <col min="6690" max="6690" width="10.42578125" style="1" customWidth="1"/>
    <col min="6691" max="6691" width="9.7109375" style="1" customWidth="1"/>
    <col min="6692" max="6692" width="8.28515625" style="1" customWidth="1"/>
    <col min="6693" max="6693" width="8.7109375" style="1" bestFit="1" customWidth="1"/>
    <col min="6694" max="6694" width="8.28515625" style="1" customWidth="1"/>
    <col min="6695" max="6695" width="10" style="1" customWidth="1"/>
    <col min="6696" max="6696" width="8.7109375" style="1" customWidth="1"/>
    <col min="6697" max="6697" width="10.42578125" style="1" customWidth="1"/>
    <col min="6698" max="6698" width="11.85546875" style="1" customWidth="1"/>
    <col min="6699" max="6699" width="7.42578125" style="1" bestFit="1" customWidth="1"/>
    <col min="6700" max="6700" width="8.42578125" style="1" bestFit="1" customWidth="1"/>
    <col min="6701" max="6701" width="10.42578125" style="1" customWidth="1"/>
    <col min="6702" max="6912" width="10" style="1"/>
    <col min="6913" max="6913" width="11.7109375" style="1" customWidth="1"/>
    <col min="6914" max="6914" width="13.5703125" style="1" customWidth="1"/>
    <col min="6915" max="6915" width="12.7109375" style="1" customWidth="1"/>
    <col min="6916" max="6916" width="13.140625" style="1" bestFit="1" customWidth="1"/>
    <col min="6917" max="6917" width="13" style="1" customWidth="1"/>
    <col min="6918" max="6918" width="15.28515625" style="1" bestFit="1" customWidth="1"/>
    <col min="6919" max="6919" width="11.7109375" style="1" bestFit="1" customWidth="1"/>
    <col min="6920" max="6920" width="13.140625" style="1" customWidth="1"/>
    <col min="6921" max="6921" width="9" style="1" bestFit="1" customWidth="1"/>
    <col min="6922" max="6922" width="11.7109375" style="1" customWidth="1"/>
    <col min="6923" max="6923" width="8.140625" style="1" customWidth="1"/>
    <col min="6924" max="6924" width="8.140625" style="1" bestFit="1" customWidth="1"/>
    <col min="6925" max="6925" width="15.5703125" style="1" customWidth="1"/>
    <col min="6926" max="6926" width="11.5703125" style="1" bestFit="1" customWidth="1"/>
    <col min="6927" max="6927" width="13.28515625" style="1" bestFit="1" customWidth="1"/>
    <col min="6928" max="6931" width="13.140625" style="1" bestFit="1" customWidth="1"/>
    <col min="6932" max="6933" width="15.5703125" style="1" customWidth="1"/>
    <col min="6934" max="6934" width="11.42578125" style="1" bestFit="1" customWidth="1"/>
    <col min="6935" max="6935" width="12.5703125" style="1" bestFit="1" customWidth="1"/>
    <col min="6936" max="6936" width="8.85546875" style="1" bestFit="1" customWidth="1"/>
    <col min="6937" max="6937" width="14.140625" style="1" bestFit="1" customWidth="1"/>
    <col min="6938" max="6938" width="12.140625" style="1" customWidth="1"/>
    <col min="6939" max="6939" width="4.42578125" style="1" bestFit="1" customWidth="1"/>
    <col min="6940" max="6940" width="20.5703125" style="1" customWidth="1"/>
    <col min="6941" max="6941" width="10.42578125" style="1" bestFit="1" customWidth="1"/>
    <col min="6942" max="6942" width="9.85546875" style="1" customWidth="1"/>
    <col min="6943" max="6943" width="7.85546875" style="1" customWidth="1"/>
    <col min="6944" max="6944" width="9.5703125" style="1" customWidth="1"/>
    <col min="6945" max="6945" width="9.7109375" style="1" customWidth="1"/>
    <col min="6946" max="6946" width="10.42578125" style="1" customWidth="1"/>
    <col min="6947" max="6947" width="9.7109375" style="1" customWidth="1"/>
    <col min="6948" max="6948" width="8.28515625" style="1" customWidth="1"/>
    <col min="6949" max="6949" width="8.7109375" style="1" bestFit="1" customWidth="1"/>
    <col min="6950" max="6950" width="8.28515625" style="1" customWidth="1"/>
    <col min="6951" max="6951" width="10" style="1" customWidth="1"/>
    <col min="6952" max="6952" width="8.7109375" style="1" customWidth="1"/>
    <col min="6953" max="6953" width="10.42578125" style="1" customWidth="1"/>
    <col min="6954" max="6954" width="11.85546875" style="1" customWidth="1"/>
    <col min="6955" max="6955" width="7.42578125" style="1" bestFit="1" customWidth="1"/>
    <col min="6956" max="6956" width="8.42578125" style="1" bestFit="1" customWidth="1"/>
    <col min="6957" max="6957" width="10.42578125" style="1" customWidth="1"/>
    <col min="6958" max="7168" width="10" style="1"/>
    <col min="7169" max="7169" width="11.7109375" style="1" customWidth="1"/>
    <col min="7170" max="7170" width="13.5703125" style="1" customWidth="1"/>
    <col min="7171" max="7171" width="12.7109375" style="1" customWidth="1"/>
    <col min="7172" max="7172" width="13.140625" style="1" bestFit="1" customWidth="1"/>
    <col min="7173" max="7173" width="13" style="1" customWidth="1"/>
    <col min="7174" max="7174" width="15.28515625" style="1" bestFit="1" customWidth="1"/>
    <col min="7175" max="7175" width="11.7109375" style="1" bestFit="1" customWidth="1"/>
    <col min="7176" max="7176" width="13.140625" style="1" customWidth="1"/>
    <col min="7177" max="7177" width="9" style="1" bestFit="1" customWidth="1"/>
    <col min="7178" max="7178" width="11.7109375" style="1" customWidth="1"/>
    <col min="7179" max="7179" width="8.140625" style="1" customWidth="1"/>
    <col min="7180" max="7180" width="8.140625" style="1" bestFit="1" customWidth="1"/>
    <col min="7181" max="7181" width="15.5703125" style="1" customWidth="1"/>
    <col min="7182" max="7182" width="11.5703125" style="1" bestFit="1" customWidth="1"/>
    <col min="7183" max="7183" width="13.28515625" style="1" bestFit="1" customWidth="1"/>
    <col min="7184" max="7187" width="13.140625" style="1" bestFit="1" customWidth="1"/>
    <col min="7188" max="7189" width="15.5703125" style="1" customWidth="1"/>
    <col min="7190" max="7190" width="11.42578125" style="1" bestFit="1" customWidth="1"/>
    <col min="7191" max="7191" width="12.5703125" style="1" bestFit="1" customWidth="1"/>
    <col min="7192" max="7192" width="8.85546875" style="1" bestFit="1" customWidth="1"/>
    <col min="7193" max="7193" width="14.140625" style="1" bestFit="1" customWidth="1"/>
    <col min="7194" max="7194" width="12.140625" style="1" customWidth="1"/>
    <col min="7195" max="7195" width="4.42578125" style="1" bestFit="1" customWidth="1"/>
    <col min="7196" max="7196" width="20.5703125" style="1" customWidth="1"/>
    <col min="7197" max="7197" width="10.42578125" style="1" bestFit="1" customWidth="1"/>
    <col min="7198" max="7198" width="9.85546875" style="1" customWidth="1"/>
    <col min="7199" max="7199" width="7.85546875" style="1" customWidth="1"/>
    <col min="7200" max="7200" width="9.5703125" style="1" customWidth="1"/>
    <col min="7201" max="7201" width="9.7109375" style="1" customWidth="1"/>
    <col min="7202" max="7202" width="10.42578125" style="1" customWidth="1"/>
    <col min="7203" max="7203" width="9.7109375" style="1" customWidth="1"/>
    <col min="7204" max="7204" width="8.28515625" style="1" customWidth="1"/>
    <col min="7205" max="7205" width="8.7109375" style="1" bestFit="1" customWidth="1"/>
    <col min="7206" max="7206" width="8.28515625" style="1" customWidth="1"/>
    <col min="7207" max="7207" width="10" style="1" customWidth="1"/>
    <col min="7208" max="7208" width="8.7109375" style="1" customWidth="1"/>
    <col min="7209" max="7209" width="10.42578125" style="1" customWidth="1"/>
    <col min="7210" max="7210" width="11.85546875" style="1" customWidth="1"/>
    <col min="7211" max="7211" width="7.42578125" style="1" bestFit="1" customWidth="1"/>
    <col min="7212" max="7212" width="8.42578125" style="1" bestFit="1" customWidth="1"/>
    <col min="7213" max="7213" width="10.42578125" style="1" customWidth="1"/>
    <col min="7214" max="7424" width="10" style="1"/>
    <col min="7425" max="7425" width="11.7109375" style="1" customWidth="1"/>
    <col min="7426" max="7426" width="13.5703125" style="1" customWidth="1"/>
    <col min="7427" max="7427" width="12.7109375" style="1" customWidth="1"/>
    <col min="7428" max="7428" width="13.140625" style="1" bestFit="1" customWidth="1"/>
    <col min="7429" max="7429" width="13" style="1" customWidth="1"/>
    <col min="7430" max="7430" width="15.28515625" style="1" bestFit="1" customWidth="1"/>
    <col min="7431" max="7431" width="11.7109375" style="1" bestFit="1" customWidth="1"/>
    <col min="7432" max="7432" width="13.140625" style="1" customWidth="1"/>
    <col min="7433" max="7433" width="9" style="1" bestFit="1" customWidth="1"/>
    <col min="7434" max="7434" width="11.7109375" style="1" customWidth="1"/>
    <col min="7435" max="7435" width="8.140625" style="1" customWidth="1"/>
    <col min="7436" max="7436" width="8.140625" style="1" bestFit="1" customWidth="1"/>
    <col min="7437" max="7437" width="15.5703125" style="1" customWidth="1"/>
    <col min="7438" max="7438" width="11.5703125" style="1" bestFit="1" customWidth="1"/>
    <col min="7439" max="7439" width="13.28515625" style="1" bestFit="1" customWidth="1"/>
    <col min="7440" max="7443" width="13.140625" style="1" bestFit="1" customWidth="1"/>
    <col min="7444" max="7445" width="15.5703125" style="1" customWidth="1"/>
    <col min="7446" max="7446" width="11.42578125" style="1" bestFit="1" customWidth="1"/>
    <col min="7447" max="7447" width="12.5703125" style="1" bestFit="1" customWidth="1"/>
    <col min="7448" max="7448" width="8.85546875" style="1" bestFit="1" customWidth="1"/>
    <col min="7449" max="7449" width="14.140625" style="1" bestFit="1" customWidth="1"/>
    <col min="7450" max="7450" width="12.140625" style="1" customWidth="1"/>
    <col min="7451" max="7451" width="4.42578125" style="1" bestFit="1" customWidth="1"/>
    <col min="7452" max="7452" width="20.5703125" style="1" customWidth="1"/>
    <col min="7453" max="7453" width="10.42578125" style="1" bestFit="1" customWidth="1"/>
    <col min="7454" max="7454" width="9.85546875" style="1" customWidth="1"/>
    <col min="7455" max="7455" width="7.85546875" style="1" customWidth="1"/>
    <col min="7456" max="7456" width="9.5703125" style="1" customWidth="1"/>
    <col min="7457" max="7457" width="9.7109375" style="1" customWidth="1"/>
    <col min="7458" max="7458" width="10.42578125" style="1" customWidth="1"/>
    <col min="7459" max="7459" width="9.7109375" style="1" customWidth="1"/>
    <col min="7460" max="7460" width="8.28515625" style="1" customWidth="1"/>
    <col min="7461" max="7461" width="8.7109375" style="1" bestFit="1" customWidth="1"/>
    <col min="7462" max="7462" width="8.28515625" style="1" customWidth="1"/>
    <col min="7463" max="7463" width="10" style="1" customWidth="1"/>
    <col min="7464" max="7464" width="8.7109375" style="1" customWidth="1"/>
    <col min="7465" max="7465" width="10.42578125" style="1" customWidth="1"/>
    <col min="7466" max="7466" width="11.85546875" style="1" customWidth="1"/>
    <col min="7467" max="7467" width="7.42578125" style="1" bestFit="1" customWidth="1"/>
    <col min="7468" max="7468" width="8.42578125" style="1" bestFit="1" customWidth="1"/>
    <col min="7469" max="7469" width="10.42578125" style="1" customWidth="1"/>
    <col min="7470" max="7680" width="10" style="1"/>
    <col min="7681" max="7681" width="11.7109375" style="1" customWidth="1"/>
    <col min="7682" max="7682" width="13.5703125" style="1" customWidth="1"/>
    <col min="7683" max="7683" width="12.7109375" style="1" customWidth="1"/>
    <col min="7684" max="7684" width="13.140625" style="1" bestFit="1" customWidth="1"/>
    <col min="7685" max="7685" width="13" style="1" customWidth="1"/>
    <col min="7686" max="7686" width="15.28515625" style="1" bestFit="1" customWidth="1"/>
    <col min="7687" max="7687" width="11.7109375" style="1" bestFit="1" customWidth="1"/>
    <col min="7688" max="7688" width="13.140625" style="1" customWidth="1"/>
    <col min="7689" max="7689" width="9" style="1" bestFit="1" customWidth="1"/>
    <col min="7690" max="7690" width="11.7109375" style="1" customWidth="1"/>
    <col min="7691" max="7691" width="8.140625" style="1" customWidth="1"/>
    <col min="7692" max="7692" width="8.140625" style="1" bestFit="1" customWidth="1"/>
    <col min="7693" max="7693" width="15.5703125" style="1" customWidth="1"/>
    <col min="7694" max="7694" width="11.5703125" style="1" bestFit="1" customWidth="1"/>
    <col min="7695" max="7695" width="13.28515625" style="1" bestFit="1" customWidth="1"/>
    <col min="7696" max="7699" width="13.140625" style="1" bestFit="1" customWidth="1"/>
    <col min="7700" max="7701" width="15.5703125" style="1" customWidth="1"/>
    <col min="7702" max="7702" width="11.42578125" style="1" bestFit="1" customWidth="1"/>
    <col min="7703" max="7703" width="12.5703125" style="1" bestFit="1" customWidth="1"/>
    <col min="7704" max="7704" width="8.85546875" style="1" bestFit="1" customWidth="1"/>
    <col min="7705" max="7705" width="14.140625" style="1" bestFit="1" customWidth="1"/>
    <col min="7706" max="7706" width="12.140625" style="1" customWidth="1"/>
    <col min="7707" max="7707" width="4.42578125" style="1" bestFit="1" customWidth="1"/>
    <col min="7708" max="7708" width="20.5703125" style="1" customWidth="1"/>
    <col min="7709" max="7709" width="10.42578125" style="1" bestFit="1" customWidth="1"/>
    <col min="7710" max="7710" width="9.85546875" style="1" customWidth="1"/>
    <col min="7711" max="7711" width="7.85546875" style="1" customWidth="1"/>
    <col min="7712" max="7712" width="9.5703125" style="1" customWidth="1"/>
    <col min="7713" max="7713" width="9.7109375" style="1" customWidth="1"/>
    <col min="7714" max="7714" width="10.42578125" style="1" customWidth="1"/>
    <col min="7715" max="7715" width="9.7109375" style="1" customWidth="1"/>
    <col min="7716" max="7716" width="8.28515625" style="1" customWidth="1"/>
    <col min="7717" max="7717" width="8.7109375" style="1" bestFit="1" customWidth="1"/>
    <col min="7718" max="7718" width="8.28515625" style="1" customWidth="1"/>
    <col min="7719" max="7719" width="10" style="1" customWidth="1"/>
    <col min="7720" max="7720" width="8.7109375" style="1" customWidth="1"/>
    <col min="7721" max="7721" width="10.42578125" style="1" customWidth="1"/>
    <col min="7722" max="7722" width="11.85546875" style="1" customWidth="1"/>
    <col min="7723" max="7723" width="7.42578125" style="1" bestFit="1" customWidth="1"/>
    <col min="7724" max="7724" width="8.42578125" style="1" bestFit="1" customWidth="1"/>
    <col min="7725" max="7725" width="10.42578125" style="1" customWidth="1"/>
    <col min="7726" max="7936" width="10" style="1"/>
    <col min="7937" max="7937" width="11.7109375" style="1" customWidth="1"/>
    <col min="7938" max="7938" width="13.5703125" style="1" customWidth="1"/>
    <col min="7939" max="7939" width="12.7109375" style="1" customWidth="1"/>
    <col min="7940" max="7940" width="13.140625" style="1" bestFit="1" customWidth="1"/>
    <col min="7941" max="7941" width="13" style="1" customWidth="1"/>
    <col min="7942" max="7942" width="15.28515625" style="1" bestFit="1" customWidth="1"/>
    <col min="7943" max="7943" width="11.7109375" style="1" bestFit="1" customWidth="1"/>
    <col min="7944" max="7944" width="13.140625" style="1" customWidth="1"/>
    <col min="7945" max="7945" width="9" style="1" bestFit="1" customWidth="1"/>
    <col min="7946" max="7946" width="11.7109375" style="1" customWidth="1"/>
    <col min="7947" max="7947" width="8.140625" style="1" customWidth="1"/>
    <col min="7948" max="7948" width="8.140625" style="1" bestFit="1" customWidth="1"/>
    <col min="7949" max="7949" width="15.5703125" style="1" customWidth="1"/>
    <col min="7950" max="7950" width="11.5703125" style="1" bestFit="1" customWidth="1"/>
    <col min="7951" max="7951" width="13.28515625" style="1" bestFit="1" customWidth="1"/>
    <col min="7952" max="7955" width="13.140625" style="1" bestFit="1" customWidth="1"/>
    <col min="7956" max="7957" width="15.5703125" style="1" customWidth="1"/>
    <col min="7958" max="7958" width="11.42578125" style="1" bestFit="1" customWidth="1"/>
    <col min="7959" max="7959" width="12.5703125" style="1" bestFit="1" customWidth="1"/>
    <col min="7960" max="7960" width="8.85546875" style="1" bestFit="1" customWidth="1"/>
    <col min="7961" max="7961" width="14.140625" style="1" bestFit="1" customWidth="1"/>
    <col min="7962" max="7962" width="12.140625" style="1" customWidth="1"/>
    <col min="7963" max="7963" width="4.42578125" style="1" bestFit="1" customWidth="1"/>
    <col min="7964" max="7964" width="20.5703125" style="1" customWidth="1"/>
    <col min="7965" max="7965" width="10.42578125" style="1" bestFit="1" customWidth="1"/>
    <col min="7966" max="7966" width="9.85546875" style="1" customWidth="1"/>
    <col min="7967" max="7967" width="7.85546875" style="1" customWidth="1"/>
    <col min="7968" max="7968" width="9.5703125" style="1" customWidth="1"/>
    <col min="7969" max="7969" width="9.7109375" style="1" customWidth="1"/>
    <col min="7970" max="7970" width="10.42578125" style="1" customWidth="1"/>
    <col min="7971" max="7971" width="9.7109375" style="1" customWidth="1"/>
    <col min="7972" max="7972" width="8.28515625" style="1" customWidth="1"/>
    <col min="7973" max="7973" width="8.7109375" style="1" bestFit="1" customWidth="1"/>
    <col min="7974" max="7974" width="8.28515625" style="1" customWidth="1"/>
    <col min="7975" max="7975" width="10" style="1" customWidth="1"/>
    <col min="7976" max="7976" width="8.7109375" style="1" customWidth="1"/>
    <col min="7977" max="7977" width="10.42578125" style="1" customWidth="1"/>
    <col min="7978" max="7978" width="11.85546875" style="1" customWidth="1"/>
    <col min="7979" max="7979" width="7.42578125" style="1" bestFit="1" customWidth="1"/>
    <col min="7980" max="7980" width="8.42578125" style="1" bestFit="1" customWidth="1"/>
    <col min="7981" max="7981" width="10.42578125" style="1" customWidth="1"/>
    <col min="7982" max="8192" width="10" style="1"/>
    <col min="8193" max="8193" width="11.7109375" style="1" customWidth="1"/>
    <col min="8194" max="8194" width="13.5703125" style="1" customWidth="1"/>
    <col min="8195" max="8195" width="12.7109375" style="1" customWidth="1"/>
    <col min="8196" max="8196" width="13.140625" style="1" bestFit="1" customWidth="1"/>
    <col min="8197" max="8197" width="13" style="1" customWidth="1"/>
    <col min="8198" max="8198" width="15.28515625" style="1" bestFit="1" customWidth="1"/>
    <col min="8199" max="8199" width="11.7109375" style="1" bestFit="1" customWidth="1"/>
    <col min="8200" max="8200" width="13.140625" style="1" customWidth="1"/>
    <col min="8201" max="8201" width="9" style="1" bestFit="1" customWidth="1"/>
    <col min="8202" max="8202" width="11.7109375" style="1" customWidth="1"/>
    <col min="8203" max="8203" width="8.140625" style="1" customWidth="1"/>
    <col min="8204" max="8204" width="8.140625" style="1" bestFit="1" customWidth="1"/>
    <col min="8205" max="8205" width="15.5703125" style="1" customWidth="1"/>
    <col min="8206" max="8206" width="11.5703125" style="1" bestFit="1" customWidth="1"/>
    <col min="8207" max="8207" width="13.28515625" style="1" bestFit="1" customWidth="1"/>
    <col min="8208" max="8211" width="13.140625" style="1" bestFit="1" customWidth="1"/>
    <col min="8212" max="8213" width="15.5703125" style="1" customWidth="1"/>
    <col min="8214" max="8214" width="11.42578125" style="1" bestFit="1" customWidth="1"/>
    <col min="8215" max="8215" width="12.5703125" style="1" bestFit="1" customWidth="1"/>
    <col min="8216" max="8216" width="8.85546875" style="1" bestFit="1" customWidth="1"/>
    <col min="8217" max="8217" width="14.140625" style="1" bestFit="1" customWidth="1"/>
    <col min="8218" max="8218" width="12.140625" style="1" customWidth="1"/>
    <col min="8219" max="8219" width="4.42578125" style="1" bestFit="1" customWidth="1"/>
    <col min="8220" max="8220" width="20.5703125" style="1" customWidth="1"/>
    <col min="8221" max="8221" width="10.42578125" style="1" bestFit="1" customWidth="1"/>
    <col min="8222" max="8222" width="9.85546875" style="1" customWidth="1"/>
    <col min="8223" max="8223" width="7.85546875" style="1" customWidth="1"/>
    <col min="8224" max="8224" width="9.5703125" style="1" customWidth="1"/>
    <col min="8225" max="8225" width="9.7109375" style="1" customWidth="1"/>
    <col min="8226" max="8226" width="10.42578125" style="1" customWidth="1"/>
    <col min="8227" max="8227" width="9.7109375" style="1" customWidth="1"/>
    <col min="8228" max="8228" width="8.28515625" style="1" customWidth="1"/>
    <col min="8229" max="8229" width="8.7109375" style="1" bestFit="1" customWidth="1"/>
    <col min="8230" max="8230" width="8.28515625" style="1" customWidth="1"/>
    <col min="8231" max="8231" width="10" style="1" customWidth="1"/>
    <col min="8232" max="8232" width="8.7109375" style="1" customWidth="1"/>
    <col min="8233" max="8233" width="10.42578125" style="1" customWidth="1"/>
    <col min="8234" max="8234" width="11.85546875" style="1" customWidth="1"/>
    <col min="8235" max="8235" width="7.42578125" style="1" bestFit="1" customWidth="1"/>
    <col min="8236" max="8236" width="8.42578125" style="1" bestFit="1" customWidth="1"/>
    <col min="8237" max="8237" width="10.42578125" style="1" customWidth="1"/>
    <col min="8238" max="8448" width="10" style="1"/>
    <col min="8449" max="8449" width="11.7109375" style="1" customWidth="1"/>
    <col min="8450" max="8450" width="13.5703125" style="1" customWidth="1"/>
    <col min="8451" max="8451" width="12.7109375" style="1" customWidth="1"/>
    <col min="8452" max="8452" width="13.140625" style="1" bestFit="1" customWidth="1"/>
    <col min="8453" max="8453" width="13" style="1" customWidth="1"/>
    <col min="8454" max="8454" width="15.28515625" style="1" bestFit="1" customWidth="1"/>
    <col min="8455" max="8455" width="11.7109375" style="1" bestFit="1" customWidth="1"/>
    <col min="8456" max="8456" width="13.140625" style="1" customWidth="1"/>
    <col min="8457" max="8457" width="9" style="1" bestFit="1" customWidth="1"/>
    <col min="8458" max="8458" width="11.7109375" style="1" customWidth="1"/>
    <col min="8459" max="8459" width="8.140625" style="1" customWidth="1"/>
    <col min="8460" max="8460" width="8.140625" style="1" bestFit="1" customWidth="1"/>
    <col min="8461" max="8461" width="15.5703125" style="1" customWidth="1"/>
    <col min="8462" max="8462" width="11.5703125" style="1" bestFit="1" customWidth="1"/>
    <col min="8463" max="8463" width="13.28515625" style="1" bestFit="1" customWidth="1"/>
    <col min="8464" max="8467" width="13.140625" style="1" bestFit="1" customWidth="1"/>
    <col min="8468" max="8469" width="15.5703125" style="1" customWidth="1"/>
    <col min="8470" max="8470" width="11.42578125" style="1" bestFit="1" customWidth="1"/>
    <col min="8471" max="8471" width="12.5703125" style="1" bestFit="1" customWidth="1"/>
    <col min="8472" max="8472" width="8.85546875" style="1" bestFit="1" customWidth="1"/>
    <col min="8473" max="8473" width="14.140625" style="1" bestFit="1" customWidth="1"/>
    <col min="8474" max="8474" width="12.140625" style="1" customWidth="1"/>
    <col min="8475" max="8475" width="4.42578125" style="1" bestFit="1" customWidth="1"/>
    <col min="8476" max="8476" width="20.5703125" style="1" customWidth="1"/>
    <col min="8477" max="8477" width="10.42578125" style="1" bestFit="1" customWidth="1"/>
    <col min="8478" max="8478" width="9.85546875" style="1" customWidth="1"/>
    <col min="8479" max="8479" width="7.85546875" style="1" customWidth="1"/>
    <col min="8480" max="8480" width="9.5703125" style="1" customWidth="1"/>
    <col min="8481" max="8481" width="9.7109375" style="1" customWidth="1"/>
    <col min="8482" max="8482" width="10.42578125" style="1" customWidth="1"/>
    <col min="8483" max="8483" width="9.7109375" style="1" customWidth="1"/>
    <col min="8484" max="8484" width="8.28515625" style="1" customWidth="1"/>
    <col min="8485" max="8485" width="8.7109375" style="1" bestFit="1" customWidth="1"/>
    <col min="8486" max="8486" width="8.28515625" style="1" customWidth="1"/>
    <col min="8487" max="8487" width="10" style="1" customWidth="1"/>
    <col min="8488" max="8488" width="8.7109375" style="1" customWidth="1"/>
    <col min="8489" max="8489" width="10.42578125" style="1" customWidth="1"/>
    <col min="8490" max="8490" width="11.85546875" style="1" customWidth="1"/>
    <col min="8491" max="8491" width="7.42578125" style="1" bestFit="1" customWidth="1"/>
    <col min="8492" max="8492" width="8.42578125" style="1" bestFit="1" customWidth="1"/>
    <col min="8493" max="8493" width="10.42578125" style="1" customWidth="1"/>
    <col min="8494" max="8704" width="10" style="1"/>
    <col min="8705" max="8705" width="11.7109375" style="1" customWidth="1"/>
    <col min="8706" max="8706" width="13.5703125" style="1" customWidth="1"/>
    <col min="8707" max="8707" width="12.7109375" style="1" customWidth="1"/>
    <col min="8708" max="8708" width="13.140625" style="1" bestFit="1" customWidth="1"/>
    <col min="8709" max="8709" width="13" style="1" customWidth="1"/>
    <col min="8710" max="8710" width="15.28515625" style="1" bestFit="1" customWidth="1"/>
    <col min="8711" max="8711" width="11.7109375" style="1" bestFit="1" customWidth="1"/>
    <col min="8712" max="8712" width="13.140625" style="1" customWidth="1"/>
    <col min="8713" max="8713" width="9" style="1" bestFit="1" customWidth="1"/>
    <col min="8714" max="8714" width="11.7109375" style="1" customWidth="1"/>
    <col min="8715" max="8715" width="8.140625" style="1" customWidth="1"/>
    <col min="8716" max="8716" width="8.140625" style="1" bestFit="1" customWidth="1"/>
    <col min="8717" max="8717" width="15.5703125" style="1" customWidth="1"/>
    <col min="8718" max="8718" width="11.5703125" style="1" bestFit="1" customWidth="1"/>
    <col min="8719" max="8719" width="13.28515625" style="1" bestFit="1" customWidth="1"/>
    <col min="8720" max="8723" width="13.140625" style="1" bestFit="1" customWidth="1"/>
    <col min="8724" max="8725" width="15.5703125" style="1" customWidth="1"/>
    <col min="8726" max="8726" width="11.42578125" style="1" bestFit="1" customWidth="1"/>
    <col min="8727" max="8727" width="12.5703125" style="1" bestFit="1" customWidth="1"/>
    <col min="8728" max="8728" width="8.85546875" style="1" bestFit="1" customWidth="1"/>
    <col min="8729" max="8729" width="14.140625" style="1" bestFit="1" customWidth="1"/>
    <col min="8730" max="8730" width="12.140625" style="1" customWidth="1"/>
    <col min="8731" max="8731" width="4.42578125" style="1" bestFit="1" customWidth="1"/>
    <col min="8732" max="8732" width="20.5703125" style="1" customWidth="1"/>
    <col min="8733" max="8733" width="10.42578125" style="1" bestFit="1" customWidth="1"/>
    <col min="8734" max="8734" width="9.85546875" style="1" customWidth="1"/>
    <col min="8735" max="8735" width="7.85546875" style="1" customWidth="1"/>
    <col min="8736" max="8736" width="9.5703125" style="1" customWidth="1"/>
    <col min="8737" max="8737" width="9.7109375" style="1" customWidth="1"/>
    <col min="8738" max="8738" width="10.42578125" style="1" customWidth="1"/>
    <col min="8739" max="8739" width="9.7109375" style="1" customWidth="1"/>
    <col min="8740" max="8740" width="8.28515625" style="1" customWidth="1"/>
    <col min="8741" max="8741" width="8.7109375" style="1" bestFit="1" customWidth="1"/>
    <col min="8742" max="8742" width="8.28515625" style="1" customWidth="1"/>
    <col min="8743" max="8743" width="10" style="1" customWidth="1"/>
    <col min="8744" max="8744" width="8.7109375" style="1" customWidth="1"/>
    <col min="8745" max="8745" width="10.42578125" style="1" customWidth="1"/>
    <col min="8746" max="8746" width="11.85546875" style="1" customWidth="1"/>
    <col min="8747" max="8747" width="7.42578125" style="1" bestFit="1" customWidth="1"/>
    <col min="8748" max="8748" width="8.42578125" style="1" bestFit="1" customWidth="1"/>
    <col min="8749" max="8749" width="10.42578125" style="1" customWidth="1"/>
    <col min="8750" max="8960" width="10" style="1"/>
    <col min="8961" max="8961" width="11.7109375" style="1" customWidth="1"/>
    <col min="8962" max="8962" width="13.5703125" style="1" customWidth="1"/>
    <col min="8963" max="8963" width="12.7109375" style="1" customWidth="1"/>
    <col min="8964" max="8964" width="13.140625" style="1" bestFit="1" customWidth="1"/>
    <col min="8965" max="8965" width="13" style="1" customWidth="1"/>
    <col min="8966" max="8966" width="15.28515625" style="1" bestFit="1" customWidth="1"/>
    <col min="8967" max="8967" width="11.7109375" style="1" bestFit="1" customWidth="1"/>
    <col min="8968" max="8968" width="13.140625" style="1" customWidth="1"/>
    <col min="8969" max="8969" width="9" style="1" bestFit="1" customWidth="1"/>
    <col min="8970" max="8970" width="11.7109375" style="1" customWidth="1"/>
    <col min="8971" max="8971" width="8.140625" style="1" customWidth="1"/>
    <col min="8972" max="8972" width="8.140625" style="1" bestFit="1" customWidth="1"/>
    <col min="8973" max="8973" width="15.5703125" style="1" customWidth="1"/>
    <col min="8974" max="8974" width="11.5703125" style="1" bestFit="1" customWidth="1"/>
    <col min="8975" max="8975" width="13.28515625" style="1" bestFit="1" customWidth="1"/>
    <col min="8976" max="8979" width="13.140625" style="1" bestFit="1" customWidth="1"/>
    <col min="8980" max="8981" width="15.5703125" style="1" customWidth="1"/>
    <col min="8982" max="8982" width="11.42578125" style="1" bestFit="1" customWidth="1"/>
    <col min="8983" max="8983" width="12.5703125" style="1" bestFit="1" customWidth="1"/>
    <col min="8984" max="8984" width="8.85546875" style="1" bestFit="1" customWidth="1"/>
    <col min="8985" max="8985" width="14.140625" style="1" bestFit="1" customWidth="1"/>
    <col min="8986" max="8986" width="12.140625" style="1" customWidth="1"/>
    <col min="8987" max="8987" width="4.42578125" style="1" bestFit="1" customWidth="1"/>
    <col min="8988" max="8988" width="20.5703125" style="1" customWidth="1"/>
    <col min="8989" max="8989" width="10.42578125" style="1" bestFit="1" customWidth="1"/>
    <col min="8990" max="8990" width="9.85546875" style="1" customWidth="1"/>
    <col min="8991" max="8991" width="7.85546875" style="1" customWidth="1"/>
    <col min="8992" max="8992" width="9.5703125" style="1" customWidth="1"/>
    <col min="8993" max="8993" width="9.7109375" style="1" customWidth="1"/>
    <col min="8994" max="8994" width="10.42578125" style="1" customWidth="1"/>
    <col min="8995" max="8995" width="9.7109375" style="1" customWidth="1"/>
    <col min="8996" max="8996" width="8.28515625" style="1" customWidth="1"/>
    <col min="8997" max="8997" width="8.7109375" style="1" bestFit="1" customWidth="1"/>
    <col min="8998" max="8998" width="8.28515625" style="1" customWidth="1"/>
    <col min="8999" max="8999" width="10" style="1" customWidth="1"/>
    <col min="9000" max="9000" width="8.7109375" style="1" customWidth="1"/>
    <col min="9001" max="9001" width="10.42578125" style="1" customWidth="1"/>
    <col min="9002" max="9002" width="11.85546875" style="1" customWidth="1"/>
    <col min="9003" max="9003" width="7.42578125" style="1" bestFit="1" customWidth="1"/>
    <col min="9004" max="9004" width="8.42578125" style="1" bestFit="1" customWidth="1"/>
    <col min="9005" max="9005" width="10.42578125" style="1" customWidth="1"/>
    <col min="9006" max="9216" width="10" style="1"/>
    <col min="9217" max="9217" width="11.7109375" style="1" customWidth="1"/>
    <col min="9218" max="9218" width="13.5703125" style="1" customWidth="1"/>
    <col min="9219" max="9219" width="12.7109375" style="1" customWidth="1"/>
    <col min="9220" max="9220" width="13.140625" style="1" bestFit="1" customWidth="1"/>
    <col min="9221" max="9221" width="13" style="1" customWidth="1"/>
    <col min="9222" max="9222" width="15.28515625" style="1" bestFit="1" customWidth="1"/>
    <col min="9223" max="9223" width="11.7109375" style="1" bestFit="1" customWidth="1"/>
    <col min="9224" max="9224" width="13.140625" style="1" customWidth="1"/>
    <col min="9225" max="9225" width="9" style="1" bestFit="1" customWidth="1"/>
    <col min="9226" max="9226" width="11.7109375" style="1" customWidth="1"/>
    <col min="9227" max="9227" width="8.140625" style="1" customWidth="1"/>
    <col min="9228" max="9228" width="8.140625" style="1" bestFit="1" customWidth="1"/>
    <col min="9229" max="9229" width="15.5703125" style="1" customWidth="1"/>
    <col min="9230" max="9230" width="11.5703125" style="1" bestFit="1" customWidth="1"/>
    <col min="9231" max="9231" width="13.28515625" style="1" bestFit="1" customWidth="1"/>
    <col min="9232" max="9235" width="13.140625" style="1" bestFit="1" customWidth="1"/>
    <col min="9236" max="9237" width="15.5703125" style="1" customWidth="1"/>
    <col min="9238" max="9238" width="11.42578125" style="1" bestFit="1" customWidth="1"/>
    <col min="9239" max="9239" width="12.5703125" style="1" bestFit="1" customWidth="1"/>
    <col min="9240" max="9240" width="8.85546875" style="1" bestFit="1" customWidth="1"/>
    <col min="9241" max="9241" width="14.140625" style="1" bestFit="1" customWidth="1"/>
    <col min="9242" max="9242" width="12.140625" style="1" customWidth="1"/>
    <col min="9243" max="9243" width="4.42578125" style="1" bestFit="1" customWidth="1"/>
    <col min="9244" max="9244" width="20.5703125" style="1" customWidth="1"/>
    <col min="9245" max="9245" width="10.42578125" style="1" bestFit="1" customWidth="1"/>
    <col min="9246" max="9246" width="9.85546875" style="1" customWidth="1"/>
    <col min="9247" max="9247" width="7.85546875" style="1" customWidth="1"/>
    <col min="9248" max="9248" width="9.5703125" style="1" customWidth="1"/>
    <col min="9249" max="9249" width="9.7109375" style="1" customWidth="1"/>
    <col min="9250" max="9250" width="10.42578125" style="1" customWidth="1"/>
    <col min="9251" max="9251" width="9.7109375" style="1" customWidth="1"/>
    <col min="9252" max="9252" width="8.28515625" style="1" customWidth="1"/>
    <col min="9253" max="9253" width="8.7109375" style="1" bestFit="1" customWidth="1"/>
    <col min="9254" max="9254" width="8.28515625" style="1" customWidth="1"/>
    <col min="9255" max="9255" width="10" style="1" customWidth="1"/>
    <col min="9256" max="9256" width="8.7109375" style="1" customWidth="1"/>
    <col min="9257" max="9257" width="10.42578125" style="1" customWidth="1"/>
    <col min="9258" max="9258" width="11.85546875" style="1" customWidth="1"/>
    <col min="9259" max="9259" width="7.42578125" style="1" bestFit="1" customWidth="1"/>
    <col min="9260" max="9260" width="8.42578125" style="1" bestFit="1" customWidth="1"/>
    <col min="9261" max="9261" width="10.42578125" style="1" customWidth="1"/>
    <col min="9262" max="9472" width="10" style="1"/>
    <col min="9473" max="9473" width="11.7109375" style="1" customWidth="1"/>
    <col min="9474" max="9474" width="13.5703125" style="1" customWidth="1"/>
    <col min="9475" max="9475" width="12.7109375" style="1" customWidth="1"/>
    <col min="9476" max="9476" width="13.140625" style="1" bestFit="1" customWidth="1"/>
    <col min="9477" max="9477" width="13" style="1" customWidth="1"/>
    <col min="9478" max="9478" width="15.28515625" style="1" bestFit="1" customWidth="1"/>
    <col min="9479" max="9479" width="11.7109375" style="1" bestFit="1" customWidth="1"/>
    <col min="9480" max="9480" width="13.140625" style="1" customWidth="1"/>
    <col min="9481" max="9481" width="9" style="1" bestFit="1" customWidth="1"/>
    <col min="9482" max="9482" width="11.7109375" style="1" customWidth="1"/>
    <col min="9483" max="9483" width="8.140625" style="1" customWidth="1"/>
    <col min="9484" max="9484" width="8.140625" style="1" bestFit="1" customWidth="1"/>
    <col min="9485" max="9485" width="15.5703125" style="1" customWidth="1"/>
    <col min="9486" max="9486" width="11.5703125" style="1" bestFit="1" customWidth="1"/>
    <col min="9487" max="9487" width="13.28515625" style="1" bestFit="1" customWidth="1"/>
    <col min="9488" max="9491" width="13.140625" style="1" bestFit="1" customWidth="1"/>
    <col min="9492" max="9493" width="15.5703125" style="1" customWidth="1"/>
    <col min="9494" max="9494" width="11.42578125" style="1" bestFit="1" customWidth="1"/>
    <col min="9495" max="9495" width="12.5703125" style="1" bestFit="1" customWidth="1"/>
    <col min="9496" max="9496" width="8.85546875" style="1" bestFit="1" customWidth="1"/>
    <col min="9497" max="9497" width="14.140625" style="1" bestFit="1" customWidth="1"/>
    <col min="9498" max="9498" width="12.140625" style="1" customWidth="1"/>
    <col min="9499" max="9499" width="4.42578125" style="1" bestFit="1" customWidth="1"/>
    <col min="9500" max="9500" width="20.5703125" style="1" customWidth="1"/>
    <col min="9501" max="9501" width="10.42578125" style="1" bestFit="1" customWidth="1"/>
    <col min="9502" max="9502" width="9.85546875" style="1" customWidth="1"/>
    <col min="9503" max="9503" width="7.85546875" style="1" customWidth="1"/>
    <col min="9504" max="9504" width="9.5703125" style="1" customWidth="1"/>
    <col min="9505" max="9505" width="9.7109375" style="1" customWidth="1"/>
    <col min="9506" max="9506" width="10.42578125" style="1" customWidth="1"/>
    <col min="9507" max="9507" width="9.7109375" style="1" customWidth="1"/>
    <col min="9508" max="9508" width="8.28515625" style="1" customWidth="1"/>
    <col min="9509" max="9509" width="8.7109375" style="1" bestFit="1" customWidth="1"/>
    <col min="9510" max="9510" width="8.28515625" style="1" customWidth="1"/>
    <col min="9511" max="9511" width="10" style="1" customWidth="1"/>
    <col min="9512" max="9512" width="8.7109375" style="1" customWidth="1"/>
    <col min="9513" max="9513" width="10.42578125" style="1" customWidth="1"/>
    <col min="9514" max="9514" width="11.85546875" style="1" customWidth="1"/>
    <col min="9515" max="9515" width="7.42578125" style="1" bestFit="1" customWidth="1"/>
    <col min="9516" max="9516" width="8.42578125" style="1" bestFit="1" customWidth="1"/>
    <col min="9517" max="9517" width="10.42578125" style="1" customWidth="1"/>
    <col min="9518" max="9728" width="10" style="1"/>
    <col min="9729" max="9729" width="11.7109375" style="1" customWidth="1"/>
    <col min="9730" max="9730" width="13.5703125" style="1" customWidth="1"/>
    <col min="9731" max="9731" width="12.7109375" style="1" customWidth="1"/>
    <col min="9732" max="9732" width="13.140625" style="1" bestFit="1" customWidth="1"/>
    <col min="9733" max="9733" width="13" style="1" customWidth="1"/>
    <col min="9734" max="9734" width="15.28515625" style="1" bestFit="1" customWidth="1"/>
    <col min="9735" max="9735" width="11.7109375" style="1" bestFit="1" customWidth="1"/>
    <col min="9736" max="9736" width="13.140625" style="1" customWidth="1"/>
    <col min="9737" max="9737" width="9" style="1" bestFit="1" customWidth="1"/>
    <col min="9738" max="9738" width="11.7109375" style="1" customWidth="1"/>
    <col min="9739" max="9739" width="8.140625" style="1" customWidth="1"/>
    <col min="9740" max="9740" width="8.140625" style="1" bestFit="1" customWidth="1"/>
    <col min="9741" max="9741" width="15.5703125" style="1" customWidth="1"/>
    <col min="9742" max="9742" width="11.5703125" style="1" bestFit="1" customWidth="1"/>
    <col min="9743" max="9743" width="13.28515625" style="1" bestFit="1" customWidth="1"/>
    <col min="9744" max="9747" width="13.140625" style="1" bestFit="1" customWidth="1"/>
    <col min="9748" max="9749" width="15.5703125" style="1" customWidth="1"/>
    <col min="9750" max="9750" width="11.42578125" style="1" bestFit="1" customWidth="1"/>
    <col min="9751" max="9751" width="12.5703125" style="1" bestFit="1" customWidth="1"/>
    <col min="9752" max="9752" width="8.85546875" style="1" bestFit="1" customWidth="1"/>
    <col min="9753" max="9753" width="14.140625" style="1" bestFit="1" customWidth="1"/>
    <col min="9754" max="9754" width="12.140625" style="1" customWidth="1"/>
    <col min="9755" max="9755" width="4.42578125" style="1" bestFit="1" customWidth="1"/>
    <col min="9756" max="9756" width="20.5703125" style="1" customWidth="1"/>
    <col min="9757" max="9757" width="10.42578125" style="1" bestFit="1" customWidth="1"/>
    <col min="9758" max="9758" width="9.85546875" style="1" customWidth="1"/>
    <col min="9759" max="9759" width="7.85546875" style="1" customWidth="1"/>
    <col min="9760" max="9760" width="9.5703125" style="1" customWidth="1"/>
    <col min="9761" max="9761" width="9.7109375" style="1" customWidth="1"/>
    <col min="9762" max="9762" width="10.42578125" style="1" customWidth="1"/>
    <col min="9763" max="9763" width="9.7109375" style="1" customWidth="1"/>
    <col min="9764" max="9764" width="8.28515625" style="1" customWidth="1"/>
    <col min="9765" max="9765" width="8.7109375" style="1" bestFit="1" customWidth="1"/>
    <col min="9766" max="9766" width="8.28515625" style="1" customWidth="1"/>
    <col min="9767" max="9767" width="10" style="1" customWidth="1"/>
    <col min="9768" max="9768" width="8.7109375" style="1" customWidth="1"/>
    <col min="9769" max="9769" width="10.42578125" style="1" customWidth="1"/>
    <col min="9770" max="9770" width="11.85546875" style="1" customWidth="1"/>
    <col min="9771" max="9771" width="7.42578125" style="1" bestFit="1" customWidth="1"/>
    <col min="9772" max="9772" width="8.42578125" style="1" bestFit="1" customWidth="1"/>
    <col min="9773" max="9773" width="10.42578125" style="1" customWidth="1"/>
    <col min="9774" max="9984" width="10" style="1"/>
    <col min="9985" max="9985" width="11.7109375" style="1" customWidth="1"/>
    <col min="9986" max="9986" width="13.5703125" style="1" customWidth="1"/>
    <col min="9987" max="9987" width="12.7109375" style="1" customWidth="1"/>
    <col min="9988" max="9988" width="13.140625" style="1" bestFit="1" customWidth="1"/>
    <col min="9989" max="9989" width="13" style="1" customWidth="1"/>
    <col min="9990" max="9990" width="15.28515625" style="1" bestFit="1" customWidth="1"/>
    <col min="9991" max="9991" width="11.7109375" style="1" bestFit="1" customWidth="1"/>
    <col min="9992" max="9992" width="13.140625" style="1" customWidth="1"/>
    <col min="9993" max="9993" width="9" style="1" bestFit="1" customWidth="1"/>
    <col min="9994" max="9994" width="11.7109375" style="1" customWidth="1"/>
    <col min="9995" max="9995" width="8.140625" style="1" customWidth="1"/>
    <col min="9996" max="9996" width="8.140625" style="1" bestFit="1" customWidth="1"/>
    <col min="9997" max="9997" width="15.5703125" style="1" customWidth="1"/>
    <col min="9998" max="9998" width="11.5703125" style="1" bestFit="1" customWidth="1"/>
    <col min="9999" max="9999" width="13.28515625" style="1" bestFit="1" customWidth="1"/>
    <col min="10000" max="10003" width="13.140625" style="1" bestFit="1" customWidth="1"/>
    <col min="10004" max="10005" width="15.5703125" style="1" customWidth="1"/>
    <col min="10006" max="10006" width="11.42578125" style="1" bestFit="1" customWidth="1"/>
    <col min="10007" max="10007" width="12.5703125" style="1" bestFit="1" customWidth="1"/>
    <col min="10008" max="10008" width="8.85546875" style="1" bestFit="1" customWidth="1"/>
    <col min="10009" max="10009" width="14.140625" style="1" bestFit="1" customWidth="1"/>
    <col min="10010" max="10010" width="12.140625" style="1" customWidth="1"/>
    <col min="10011" max="10011" width="4.42578125" style="1" bestFit="1" customWidth="1"/>
    <col min="10012" max="10012" width="20.5703125" style="1" customWidth="1"/>
    <col min="10013" max="10013" width="10.42578125" style="1" bestFit="1" customWidth="1"/>
    <col min="10014" max="10014" width="9.85546875" style="1" customWidth="1"/>
    <col min="10015" max="10015" width="7.85546875" style="1" customWidth="1"/>
    <col min="10016" max="10016" width="9.5703125" style="1" customWidth="1"/>
    <col min="10017" max="10017" width="9.7109375" style="1" customWidth="1"/>
    <col min="10018" max="10018" width="10.42578125" style="1" customWidth="1"/>
    <col min="10019" max="10019" width="9.7109375" style="1" customWidth="1"/>
    <col min="10020" max="10020" width="8.28515625" style="1" customWidth="1"/>
    <col min="10021" max="10021" width="8.7109375" style="1" bestFit="1" customWidth="1"/>
    <col min="10022" max="10022" width="8.28515625" style="1" customWidth="1"/>
    <col min="10023" max="10023" width="10" style="1" customWidth="1"/>
    <col min="10024" max="10024" width="8.7109375" style="1" customWidth="1"/>
    <col min="10025" max="10025" width="10.42578125" style="1" customWidth="1"/>
    <col min="10026" max="10026" width="11.85546875" style="1" customWidth="1"/>
    <col min="10027" max="10027" width="7.42578125" style="1" bestFit="1" customWidth="1"/>
    <col min="10028" max="10028" width="8.42578125" style="1" bestFit="1" customWidth="1"/>
    <col min="10029" max="10029" width="10.42578125" style="1" customWidth="1"/>
    <col min="10030" max="10240" width="10" style="1"/>
    <col min="10241" max="10241" width="11.7109375" style="1" customWidth="1"/>
    <col min="10242" max="10242" width="13.5703125" style="1" customWidth="1"/>
    <col min="10243" max="10243" width="12.7109375" style="1" customWidth="1"/>
    <col min="10244" max="10244" width="13.140625" style="1" bestFit="1" customWidth="1"/>
    <col min="10245" max="10245" width="13" style="1" customWidth="1"/>
    <col min="10246" max="10246" width="15.28515625" style="1" bestFit="1" customWidth="1"/>
    <col min="10247" max="10247" width="11.7109375" style="1" bestFit="1" customWidth="1"/>
    <col min="10248" max="10248" width="13.140625" style="1" customWidth="1"/>
    <col min="10249" max="10249" width="9" style="1" bestFit="1" customWidth="1"/>
    <col min="10250" max="10250" width="11.7109375" style="1" customWidth="1"/>
    <col min="10251" max="10251" width="8.140625" style="1" customWidth="1"/>
    <col min="10252" max="10252" width="8.140625" style="1" bestFit="1" customWidth="1"/>
    <col min="10253" max="10253" width="15.5703125" style="1" customWidth="1"/>
    <col min="10254" max="10254" width="11.5703125" style="1" bestFit="1" customWidth="1"/>
    <col min="10255" max="10255" width="13.28515625" style="1" bestFit="1" customWidth="1"/>
    <col min="10256" max="10259" width="13.140625" style="1" bestFit="1" customWidth="1"/>
    <col min="10260" max="10261" width="15.5703125" style="1" customWidth="1"/>
    <col min="10262" max="10262" width="11.42578125" style="1" bestFit="1" customWidth="1"/>
    <col min="10263" max="10263" width="12.5703125" style="1" bestFit="1" customWidth="1"/>
    <col min="10264" max="10264" width="8.85546875" style="1" bestFit="1" customWidth="1"/>
    <col min="10265" max="10265" width="14.140625" style="1" bestFit="1" customWidth="1"/>
    <col min="10266" max="10266" width="12.140625" style="1" customWidth="1"/>
    <col min="10267" max="10267" width="4.42578125" style="1" bestFit="1" customWidth="1"/>
    <col min="10268" max="10268" width="20.5703125" style="1" customWidth="1"/>
    <col min="10269" max="10269" width="10.42578125" style="1" bestFit="1" customWidth="1"/>
    <col min="10270" max="10270" width="9.85546875" style="1" customWidth="1"/>
    <col min="10271" max="10271" width="7.85546875" style="1" customWidth="1"/>
    <col min="10272" max="10272" width="9.5703125" style="1" customWidth="1"/>
    <col min="10273" max="10273" width="9.7109375" style="1" customWidth="1"/>
    <col min="10274" max="10274" width="10.42578125" style="1" customWidth="1"/>
    <col min="10275" max="10275" width="9.7109375" style="1" customWidth="1"/>
    <col min="10276" max="10276" width="8.28515625" style="1" customWidth="1"/>
    <col min="10277" max="10277" width="8.7109375" style="1" bestFit="1" customWidth="1"/>
    <col min="10278" max="10278" width="8.28515625" style="1" customWidth="1"/>
    <col min="10279" max="10279" width="10" style="1" customWidth="1"/>
    <col min="10280" max="10280" width="8.7109375" style="1" customWidth="1"/>
    <col min="10281" max="10281" width="10.42578125" style="1" customWidth="1"/>
    <col min="10282" max="10282" width="11.85546875" style="1" customWidth="1"/>
    <col min="10283" max="10283" width="7.42578125" style="1" bestFit="1" customWidth="1"/>
    <col min="10284" max="10284" width="8.42578125" style="1" bestFit="1" customWidth="1"/>
    <col min="10285" max="10285" width="10.42578125" style="1" customWidth="1"/>
    <col min="10286" max="10496" width="10" style="1"/>
    <col min="10497" max="10497" width="11.7109375" style="1" customWidth="1"/>
    <col min="10498" max="10498" width="13.5703125" style="1" customWidth="1"/>
    <col min="10499" max="10499" width="12.7109375" style="1" customWidth="1"/>
    <col min="10500" max="10500" width="13.140625" style="1" bestFit="1" customWidth="1"/>
    <col min="10501" max="10501" width="13" style="1" customWidth="1"/>
    <col min="10502" max="10502" width="15.28515625" style="1" bestFit="1" customWidth="1"/>
    <col min="10503" max="10503" width="11.7109375" style="1" bestFit="1" customWidth="1"/>
    <col min="10504" max="10504" width="13.140625" style="1" customWidth="1"/>
    <col min="10505" max="10505" width="9" style="1" bestFit="1" customWidth="1"/>
    <col min="10506" max="10506" width="11.7109375" style="1" customWidth="1"/>
    <col min="10507" max="10507" width="8.140625" style="1" customWidth="1"/>
    <col min="10508" max="10508" width="8.140625" style="1" bestFit="1" customWidth="1"/>
    <col min="10509" max="10509" width="15.5703125" style="1" customWidth="1"/>
    <col min="10510" max="10510" width="11.5703125" style="1" bestFit="1" customWidth="1"/>
    <col min="10511" max="10511" width="13.28515625" style="1" bestFit="1" customWidth="1"/>
    <col min="10512" max="10515" width="13.140625" style="1" bestFit="1" customWidth="1"/>
    <col min="10516" max="10517" width="15.5703125" style="1" customWidth="1"/>
    <col min="10518" max="10518" width="11.42578125" style="1" bestFit="1" customWidth="1"/>
    <col min="10519" max="10519" width="12.5703125" style="1" bestFit="1" customWidth="1"/>
    <col min="10520" max="10520" width="8.85546875" style="1" bestFit="1" customWidth="1"/>
    <col min="10521" max="10521" width="14.140625" style="1" bestFit="1" customWidth="1"/>
    <col min="10522" max="10522" width="12.140625" style="1" customWidth="1"/>
    <col min="10523" max="10523" width="4.42578125" style="1" bestFit="1" customWidth="1"/>
    <col min="10524" max="10524" width="20.5703125" style="1" customWidth="1"/>
    <col min="10525" max="10525" width="10.42578125" style="1" bestFit="1" customWidth="1"/>
    <col min="10526" max="10526" width="9.85546875" style="1" customWidth="1"/>
    <col min="10527" max="10527" width="7.85546875" style="1" customWidth="1"/>
    <col min="10528" max="10528" width="9.5703125" style="1" customWidth="1"/>
    <col min="10529" max="10529" width="9.7109375" style="1" customWidth="1"/>
    <col min="10530" max="10530" width="10.42578125" style="1" customWidth="1"/>
    <col min="10531" max="10531" width="9.7109375" style="1" customWidth="1"/>
    <col min="10532" max="10532" width="8.28515625" style="1" customWidth="1"/>
    <col min="10533" max="10533" width="8.7109375" style="1" bestFit="1" customWidth="1"/>
    <col min="10534" max="10534" width="8.28515625" style="1" customWidth="1"/>
    <col min="10535" max="10535" width="10" style="1" customWidth="1"/>
    <col min="10536" max="10536" width="8.7109375" style="1" customWidth="1"/>
    <col min="10537" max="10537" width="10.42578125" style="1" customWidth="1"/>
    <col min="10538" max="10538" width="11.85546875" style="1" customWidth="1"/>
    <col min="10539" max="10539" width="7.42578125" style="1" bestFit="1" customWidth="1"/>
    <col min="10540" max="10540" width="8.42578125" style="1" bestFit="1" customWidth="1"/>
    <col min="10541" max="10541" width="10.42578125" style="1" customWidth="1"/>
    <col min="10542" max="10752" width="10" style="1"/>
    <col min="10753" max="10753" width="11.7109375" style="1" customWidth="1"/>
    <col min="10754" max="10754" width="13.5703125" style="1" customWidth="1"/>
    <col min="10755" max="10755" width="12.7109375" style="1" customWidth="1"/>
    <col min="10756" max="10756" width="13.140625" style="1" bestFit="1" customWidth="1"/>
    <col min="10757" max="10757" width="13" style="1" customWidth="1"/>
    <col min="10758" max="10758" width="15.28515625" style="1" bestFit="1" customWidth="1"/>
    <col min="10759" max="10759" width="11.7109375" style="1" bestFit="1" customWidth="1"/>
    <col min="10760" max="10760" width="13.140625" style="1" customWidth="1"/>
    <col min="10761" max="10761" width="9" style="1" bestFit="1" customWidth="1"/>
    <col min="10762" max="10762" width="11.7109375" style="1" customWidth="1"/>
    <col min="10763" max="10763" width="8.140625" style="1" customWidth="1"/>
    <col min="10764" max="10764" width="8.140625" style="1" bestFit="1" customWidth="1"/>
    <col min="10765" max="10765" width="15.5703125" style="1" customWidth="1"/>
    <col min="10766" max="10766" width="11.5703125" style="1" bestFit="1" customWidth="1"/>
    <col min="10767" max="10767" width="13.28515625" style="1" bestFit="1" customWidth="1"/>
    <col min="10768" max="10771" width="13.140625" style="1" bestFit="1" customWidth="1"/>
    <col min="10772" max="10773" width="15.5703125" style="1" customWidth="1"/>
    <col min="10774" max="10774" width="11.42578125" style="1" bestFit="1" customWidth="1"/>
    <col min="10775" max="10775" width="12.5703125" style="1" bestFit="1" customWidth="1"/>
    <col min="10776" max="10776" width="8.85546875" style="1" bestFit="1" customWidth="1"/>
    <col min="10777" max="10777" width="14.140625" style="1" bestFit="1" customWidth="1"/>
    <col min="10778" max="10778" width="12.140625" style="1" customWidth="1"/>
    <col min="10779" max="10779" width="4.42578125" style="1" bestFit="1" customWidth="1"/>
    <col min="10780" max="10780" width="20.5703125" style="1" customWidth="1"/>
    <col min="10781" max="10781" width="10.42578125" style="1" bestFit="1" customWidth="1"/>
    <col min="10782" max="10782" width="9.85546875" style="1" customWidth="1"/>
    <col min="10783" max="10783" width="7.85546875" style="1" customWidth="1"/>
    <col min="10784" max="10784" width="9.5703125" style="1" customWidth="1"/>
    <col min="10785" max="10785" width="9.7109375" style="1" customWidth="1"/>
    <col min="10786" max="10786" width="10.42578125" style="1" customWidth="1"/>
    <col min="10787" max="10787" width="9.7109375" style="1" customWidth="1"/>
    <col min="10788" max="10788" width="8.28515625" style="1" customWidth="1"/>
    <col min="10789" max="10789" width="8.7109375" style="1" bestFit="1" customWidth="1"/>
    <col min="10790" max="10790" width="8.28515625" style="1" customWidth="1"/>
    <col min="10791" max="10791" width="10" style="1" customWidth="1"/>
    <col min="10792" max="10792" width="8.7109375" style="1" customWidth="1"/>
    <col min="10793" max="10793" width="10.42578125" style="1" customWidth="1"/>
    <col min="10794" max="10794" width="11.85546875" style="1" customWidth="1"/>
    <col min="10795" max="10795" width="7.42578125" style="1" bestFit="1" customWidth="1"/>
    <col min="10796" max="10796" width="8.42578125" style="1" bestFit="1" customWidth="1"/>
    <col min="10797" max="10797" width="10.42578125" style="1" customWidth="1"/>
    <col min="10798" max="11008" width="10" style="1"/>
    <col min="11009" max="11009" width="11.7109375" style="1" customWidth="1"/>
    <col min="11010" max="11010" width="13.5703125" style="1" customWidth="1"/>
    <col min="11011" max="11011" width="12.7109375" style="1" customWidth="1"/>
    <col min="11012" max="11012" width="13.140625" style="1" bestFit="1" customWidth="1"/>
    <col min="11013" max="11013" width="13" style="1" customWidth="1"/>
    <col min="11014" max="11014" width="15.28515625" style="1" bestFit="1" customWidth="1"/>
    <col min="11015" max="11015" width="11.7109375" style="1" bestFit="1" customWidth="1"/>
    <col min="11016" max="11016" width="13.140625" style="1" customWidth="1"/>
    <col min="11017" max="11017" width="9" style="1" bestFit="1" customWidth="1"/>
    <col min="11018" max="11018" width="11.7109375" style="1" customWidth="1"/>
    <col min="11019" max="11019" width="8.140625" style="1" customWidth="1"/>
    <col min="11020" max="11020" width="8.140625" style="1" bestFit="1" customWidth="1"/>
    <col min="11021" max="11021" width="15.5703125" style="1" customWidth="1"/>
    <col min="11022" max="11022" width="11.5703125" style="1" bestFit="1" customWidth="1"/>
    <col min="11023" max="11023" width="13.28515625" style="1" bestFit="1" customWidth="1"/>
    <col min="11024" max="11027" width="13.140625" style="1" bestFit="1" customWidth="1"/>
    <col min="11028" max="11029" width="15.5703125" style="1" customWidth="1"/>
    <col min="11030" max="11030" width="11.42578125" style="1" bestFit="1" customWidth="1"/>
    <col min="11031" max="11031" width="12.5703125" style="1" bestFit="1" customWidth="1"/>
    <col min="11032" max="11032" width="8.85546875" style="1" bestFit="1" customWidth="1"/>
    <col min="11033" max="11033" width="14.140625" style="1" bestFit="1" customWidth="1"/>
    <col min="11034" max="11034" width="12.140625" style="1" customWidth="1"/>
    <col min="11035" max="11035" width="4.42578125" style="1" bestFit="1" customWidth="1"/>
    <col min="11036" max="11036" width="20.5703125" style="1" customWidth="1"/>
    <col min="11037" max="11037" width="10.42578125" style="1" bestFit="1" customWidth="1"/>
    <col min="11038" max="11038" width="9.85546875" style="1" customWidth="1"/>
    <col min="11039" max="11039" width="7.85546875" style="1" customWidth="1"/>
    <col min="11040" max="11040" width="9.5703125" style="1" customWidth="1"/>
    <col min="11041" max="11041" width="9.7109375" style="1" customWidth="1"/>
    <col min="11042" max="11042" width="10.42578125" style="1" customWidth="1"/>
    <col min="11043" max="11043" width="9.7109375" style="1" customWidth="1"/>
    <col min="11044" max="11044" width="8.28515625" style="1" customWidth="1"/>
    <col min="11045" max="11045" width="8.7109375" style="1" bestFit="1" customWidth="1"/>
    <col min="11046" max="11046" width="8.28515625" style="1" customWidth="1"/>
    <col min="11047" max="11047" width="10" style="1" customWidth="1"/>
    <col min="11048" max="11048" width="8.7109375" style="1" customWidth="1"/>
    <col min="11049" max="11049" width="10.42578125" style="1" customWidth="1"/>
    <col min="11050" max="11050" width="11.85546875" style="1" customWidth="1"/>
    <col min="11051" max="11051" width="7.42578125" style="1" bestFit="1" customWidth="1"/>
    <col min="11052" max="11052" width="8.42578125" style="1" bestFit="1" customWidth="1"/>
    <col min="11053" max="11053" width="10.42578125" style="1" customWidth="1"/>
    <col min="11054" max="11264" width="10" style="1"/>
    <col min="11265" max="11265" width="11.7109375" style="1" customWidth="1"/>
    <col min="11266" max="11266" width="13.5703125" style="1" customWidth="1"/>
    <col min="11267" max="11267" width="12.7109375" style="1" customWidth="1"/>
    <col min="11268" max="11268" width="13.140625" style="1" bestFit="1" customWidth="1"/>
    <col min="11269" max="11269" width="13" style="1" customWidth="1"/>
    <col min="11270" max="11270" width="15.28515625" style="1" bestFit="1" customWidth="1"/>
    <col min="11271" max="11271" width="11.7109375" style="1" bestFit="1" customWidth="1"/>
    <col min="11272" max="11272" width="13.140625" style="1" customWidth="1"/>
    <col min="11273" max="11273" width="9" style="1" bestFit="1" customWidth="1"/>
    <col min="11274" max="11274" width="11.7109375" style="1" customWidth="1"/>
    <col min="11275" max="11275" width="8.140625" style="1" customWidth="1"/>
    <col min="11276" max="11276" width="8.140625" style="1" bestFit="1" customWidth="1"/>
    <col min="11277" max="11277" width="15.5703125" style="1" customWidth="1"/>
    <col min="11278" max="11278" width="11.5703125" style="1" bestFit="1" customWidth="1"/>
    <col min="11279" max="11279" width="13.28515625" style="1" bestFit="1" customWidth="1"/>
    <col min="11280" max="11283" width="13.140625" style="1" bestFit="1" customWidth="1"/>
    <col min="11284" max="11285" width="15.5703125" style="1" customWidth="1"/>
    <col min="11286" max="11286" width="11.42578125" style="1" bestFit="1" customWidth="1"/>
    <col min="11287" max="11287" width="12.5703125" style="1" bestFit="1" customWidth="1"/>
    <col min="11288" max="11288" width="8.85546875" style="1" bestFit="1" customWidth="1"/>
    <col min="11289" max="11289" width="14.140625" style="1" bestFit="1" customWidth="1"/>
    <col min="11290" max="11290" width="12.140625" style="1" customWidth="1"/>
    <col min="11291" max="11291" width="4.42578125" style="1" bestFit="1" customWidth="1"/>
    <col min="11292" max="11292" width="20.5703125" style="1" customWidth="1"/>
    <col min="11293" max="11293" width="10.42578125" style="1" bestFit="1" customWidth="1"/>
    <col min="11294" max="11294" width="9.85546875" style="1" customWidth="1"/>
    <col min="11295" max="11295" width="7.85546875" style="1" customWidth="1"/>
    <col min="11296" max="11296" width="9.5703125" style="1" customWidth="1"/>
    <col min="11297" max="11297" width="9.7109375" style="1" customWidth="1"/>
    <col min="11298" max="11298" width="10.42578125" style="1" customWidth="1"/>
    <col min="11299" max="11299" width="9.7109375" style="1" customWidth="1"/>
    <col min="11300" max="11300" width="8.28515625" style="1" customWidth="1"/>
    <col min="11301" max="11301" width="8.7109375" style="1" bestFit="1" customWidth="1"/>
    <col min="11302" max="11302" width="8.28515625" style="1" customWidth="1"/>
    <col min="11303" max="11303" width="10" style="1" customWidth="1"/>
    <col min="11304" max="11304" width="8.7109375" style="1" customWidth="1"/>
    <col min="11305" max="11305" width="10.42578125" style="1" customWidth="1"/>
    <col min="11306" max="11306" width="11.85546875" style="1" customWidth="1"/>
    <col min="11307" max="11307" width="7.42578125" style="1" bestFit="1" customWidth="1"/>
    <col min="11308" max="11308" width="8.42578125" style="1" bestFit="1" customWidth="1"/>
    <col min="11309" max="11309" width="10.42578125" style="1" customWidth="1"/>
    <col min="11310" max="11520" width="10" style="1"/>
    <col min="11521" max="11521" width="11.7109375" style="1" customWidth="1"/>
    <col min="11522" max="11522" width="13.5703125" style="1" customWidth="1"/>
    <col min="11523" max="11523" width="12.7109375" style="1" customWidth="1"/>
    <col min="11524" max="11524" width="13.140625" style="1" bestFit="1" customWidth="1"/>
    <col min="11525" max="11525" width="13" style="1" customWidth="1"/>
    <col min="11526" max="11526" width="15.28515625" style="1" bestFit="1" customWidth="1"/>
    <col min="11527" max="11527" width="11.7109375" style="1" bestFit="1" customWidth="1"/>
    <col min="11528" max="11528" width="13.140625" style="1" customWidth="1"/>
    <col min="11529" max="11529" width="9" style="1" bestFit="1" customWidth="1"/>
    <col min="11530" max="11530" width="11.7109375" style="1" customWidth="1"/>
    <col min="11531" max="11531" width="8.140625" style="1" customWidth="1"/>
    <col min="11532" max="11532" width="8.140625" style="1" bestFit="1" customWidth="1"/>
    <col min="11533" max="11533" width="15.5703125" style="1" customWidth="1"/>
    <col min="11534" max="11534" width="11.5703125" style="1" bestFit="1" customWidth="1"/>
    <col min="11535" max="11535" width="13.28515625" style="1" bestFit="1" customWidth="1"/>
    <col min="11536" max="11539" width="13.140625" style="1" bestFit="1" customWidth="1"/>
    <col min="11540" max="11541" width="15.5703125" style="1" customWidth="1"/>
    <col min="11542" max="11542" width="11.42578125" style="1" bestFit="1" customWidth="1"/>
    <col min="11543" max="11543" width="12.5703125" style="1" bestFit="1" customWidth="1"/>
    <col min="11544" max="11544" width="8.85546875" style="1" bestFit="1" customWidth="1"/>
    <col min="11545" max="11545" width="14.140625" style="1" bestFit="1" customWidth="1"/>
    <col min="11546" max="11546" width="12.140625" style="1" customWidth="1"/>
    <col min="11547" max="11547" width="4.42578125" style="1" bestFit="1" customWidth="1"/>
    <col min="11548" max="11548" width="20.5703125" style="1" customWidth="1"/>
    <col min="11549" max="11549" width="10.42578125" style="1" bestFit="1" customWidth="1"/>
    <col min="11550" max="11550" width="9.85546875" style="1" customWidth="1"/>
    <col min="11551" max="11551" width="7.85546875" style="1" customWidth="1"/>
    <col min="11552" max="11552" width="9.5703125" style="1" customWidth="1"/>
    <col min="11553" max="11553" width="9.7109375" style="1" customWidth="1"/>
    <col min="11554" max="11554" width="10.42578125" style="1" customWidth="1"/>
    <col min="11555" max="11555" width="9.7109375" style="1" customWidth="1"/>
    <col min="11556" max="11556" width="8.28515625" style="1" customWidth="1"/>
    <col min="11557" max="11557" width="8.7109375" style="1" bestFit="1" customWidth="1"/>
    <col min="11558" max="11558" width="8.28515625" style="1" customWidth="1"/>
    <col min="11559" max="11559" width="10" style="1" customWidth="1"/>
    <col min="11560" max="11560" width="8.7109375" style="1" customWidth="1"/>
    <col min="11561" max="11561" width="10.42578125" style="1" customWidth="1"/>
    <col min="11562" max="11562" width="11.85546875" style="1" customWidth="1"/>
    <col min="11563" max="11563" width="7.42578125" style="1" bestFit="1" customWidth="1"/>
    <col min="11564" max="11564" width="8.42578125" style="1" bestFit="1" customWidth="1"/>
    <col min="11565" max="11565" width="10.42578125" style="1" customWidth="1"/>
    <col min="11566" max="11776" width="10" style="1"/>
    <col min="11777" max="11777" width="11.7109375" style="1" customWidth="1"/>
    <col min="11778" max="11778" width="13.5703125" style="1" customWidth="1"/>
    <col min="11779" max="11779" width="12.7109375" style="1" customWidth="1"/>
    <col min="11780" max="11780" width="13.140625" style="1" bestFit="1" customWidth="1"/>
    <col min="11781" max="11781" width="13" style="1" customWidth="1"/>
    <col min="11782" max="11782" width="15.28515625" style="1" bestFit="1" customWidth="1"/>
    <col min="11783" max="11783" width="11.7109375" style="1" bestFit="1" customWidth="1"/>
    <col min="11784" max="11784" width="13.140625" style="1" customWidth="1"/>
    <col min="11785" max="11785" width="9" style="1" bestFit="1" customWidth="1"/>
    <col min="11786" max="11786" width="11.7109375" style="1" customWidth="1"/>
    <col min="11787" max="11787" width="8.140625" style="1" customWidth="1"/>
    <col min="11788" max="11788" width="8.140625" style="1" bestFit="1" customWidth="1"/>
    <col min="11789" max="11789" width="15.5703125" style="1" customWidth="1"/>
    <col min="11790" max="11790" width="11.5703125" style="1" bestFit="1" customWidth="1"/>
    <col min="11791" max="11791" width="13.28515625" style="1" bestFit="1" customWidth="1"/>
    <col min="11792" max="11795" width="13.140625" style="1" bestFit="1" customWidth="1"/>
    <col min="11796" max="11797" width="15.5703125" style="1" customWidth="1"/>
    <col min="11798" max="11798" width="11.42578125" style="1" bestFit="1" customWidth="1"/>
    <col min="11799" max="11799" width="12.5703125" style="1" bestFit="1" customWidth="1"/>
    <col min="11800" max="11800" width="8.85546875" style="1" bestFit="1" customWidth="1"/>
    <col min="11801" max="11801" width="14.140625" style="1" bestFit="1" customWidth="1"/>
    <col min="11802" max="11802" width="12.140625" style="1" customWidth="1"/>
    <col min="11803" max="11803" width="4.42578125" style="1" bestFit="1" customWidth="1"/>
    <col min="11804" max="11804" width="20.5703125" style="1" customWidth="1"/>
    <col min="11805" max="11805" width="10.42578125" style="1" bestFit="1" customWidth="1"/>
    <col min="11806" max="11806" width="9.85546875" style="1" customWidth="1"/>
    <col min="11807" max="11807" width="7.85546875" style="1" customWidth="1"/>
    <col min="11808" max="11808" width="9.5703125" style="1" customWidth="1"/>
    <col min="11809" max="11809" width="9.7109375" style="1" customWidth="1"/>
    <col min="11810" max="11810" width="10.42578125" style="1" customWidth="1"/>
    <col min="11811" max="11811" width="9.7109375" style="1" customWidth="1"/>
    <col min="11812" max="11812" width="8.28515625" style="1" customWidth="1"/>
    <col min="11813" max="11813" width="8.7109375" style="1" bestFit="1" customWidth="1"/>
    <col min="11814" max="11814" width="8.28515625" style="1" customWidth="1"/>
    <col min="11815" max="11815" width="10" style="1" customWidth="1"/>
    <col min="11816" max="11816" width="8.7109375" style="1" customWidth="1"/>
    <col min="11817" max="11817" width="10.42578125" style="1" customWidth="1"/>
    <col min="11818" max="11818" width="11.85546875" style="1" customWidth="1"/>
    <col min="11819" max="11819" width="7.42578125" style="1" bestFit="1" customWidth="1"/>
    <col min="11820" max="11820" width="8.42578125" style="1" bestFit="1" customWidth="1"/>
    <col min="11821" max="11821" width="10.42578125" style="1" customWidth="1"/>
    <col min="11822" max="12032" width="10" style="1"/>
    <col min="12033" max="12033" width="11.7109375" style="1" customWidth="1"/>
    <col min="12034" max="12034" width="13.5703125" style="1" customWidth="1"/>
    <col min="12035" max="12035" width="12.7109375" style="1" customWidth="1"/>
    <col min="12036" max="12036" width="13.140625" style="1" bestFit="1" customWidth="1"/>
    <col min="12037" max="12037" width="13" style="1" customWidth="1"/>
    <col min="12038" max="12038" width="15.28515625" style="1" bestFit="1" customWidth="1"/>
    <col min="12039" max="12039" width="11.7109375" style="1" bestFit="1" customWidth="1"/>
    <col min="12040" max="12040" width="13.140625" style="1" customWidth="1"/>
    <col min="12041" max="12041" width="9" style="1" bestFit="1" customWidth="1"/>
    <col min="12042" max="12042" width="11.7109375" style="1" customWidth="1"/>
    <col min="12043" max="12043" width="8.140625" style="1" customWidth="1"/>
    <col min="12044" max="12044" width="8.140625" style="1" bestFit="1" customWidth="1"/>
    <col min="12045" max="12045" width="15.5703125" style="1" customWidth="1"/>
    <col min="12046" max="12046" width="11.5703125" style="1" bestFit="1" customWidth="1"/>
    <col min="12047" max="12047" width="13.28515625" style="1" bestFit="1" customWidth="1"/>
    <col min="12048" max="12051" width="13.140625" style="1" bestFit="1" customWidth="1"/>
    <col min="12052" max="12053" width="15.5703125" style="1" customWidth="1"/>
    <col min="12054" max="12054" width="11.42578125" style="1" bestFit="1" customWidth="1"/>
    <col min="12055" max="12055" width="12.5703125" style="1" bestFit="1" customWidth="1"/>
    <col min="12056" max="12056" width="8.85546875" style="1" bestFit="1" customWidth="1"/>
    <col min="12057" max="12057" width="14.140625" style="1" bestFit="1" customWidth="1"/>
    <col min="12058" max="12058" width="12.140625" style="1" customWidth="1"/>
    <col min="12059" max="12059" width="4.42578125" style="1" bestFit="1" customWidth="1"/>
    <col min="12060" max="12060" width="20.5703125" style="1" customWidth="1"/>
    <col min="12061" max="12061" width="10.42578125" style="1" bestFit="1" customWidth="1"/>
    <col min="12062" max="12062" width="9.85546875" style="1" customWidth="1"/>
    <col min="12063" max="12063" width="7.85546875" style="1" customWidth="1"/>
    <col min="12064" max="12064" width="9.5703125" style="1" customWidth="1"/>
    <col min="12065" max="12065" width="9.7109375" style="1" customWidth="1"/>
    <col min="12066" max="12066" width="10.42578125" style="1" customWidth="1"/>
    <col min="12067" max="12067" width="9.7109375" style="1" customWidth="1"/>
    <col min="12068" max="12068" width="8.28515625" style="1" customWidth="1"/>
    <col min="12069" max="12069" width="8.7109375" style="1" bestFit="1" customWidth="1"/>
    <col min="12070" max="12070" width="8.28515625" style="1" customWidth="1"/>
    <col min="12071" max="12071" width="10" style="1" customWidth="1"/>
    <col min="12072" max="12072" width="8.7109375" style="1" customWidth="1"/>
    <col min="12073" max="12073" width="10.42578125" style="1" customWidth="1"/>
    <col min="12074" max="12074" width="11.85546875" style="1" customWidth="1"/>
    <col min="12075" max="12075" width="7.42578125" style="1" bestFit="1" customWidth="1"/>
    <col min="12076" max="12076" width="8.42578125" style="1" bestFit="1" customWidth="1"/>
    <col min="12077" max="12077" width="10.42578125" style="1" customWidth="1"/>
    <col min="12078" max="12288" width="10" style="1"/>
    <col min="12289" max="12289" width="11.7109375" style="1" customWidth="1"/>
    <col min="12290" max="12290" width="13.5703125" style="1" customWidth="1"/>
    <col min="12291" max="12291" width="12.7109375" style="1" customWidth="1"/>
    <col min="12292" max="12292" width="13.140625" style="1" bestFit="1" customWidth="1"/>
    <col min="12293" max="12293" width="13" style="1" customWidth="1"/>
    <col min="12294" max="12294" width="15.28515625" style="1" bestFit="1" customWidth="1"/>
    <col min="12295" max="12295" width="11.7109375" style="1" bestFit="1" customWidth="1"/>
    <col min="12296" max="12296" width="13.140625" style="1" customWidth="1"/>
    <col min="12297" max="12297" width="9" style="1" bestFit="1" customWidth="1"/>
    <col min="12298" max="12298" width="11.7109375" style="1" customWidth="1"/>
    <col min="12299" max="12299" width="8.140625" style="1" customWidth="1"/>
    <col min="12300" max="12300" width="8.140625" style="1" bestFit="1" customWidth="1"/>
    <col min="12301" max="12301" width="15.5703125" style="1" customWidth="1"/>
    <col min="12302" max="12302" width="11.5703125" style="1" bestFit="1" customWidth="1"/>
    <col min="12303" max="12303" width="13.28515625" style="1" bestFit="1" customWidth="1"/>
    <col min="12304" max="12307" width="13.140625" style="1" bestFit="1" customWidth="1"/>
    <col min="12308" max="12309" width="15.5703125" style="1" customWidth="1"/>
    <col min="12310" max="12310" width="11.42578125" style="1" bestFit="1" customWidth="1"/>
    <col min="12311" max="12311" width="12.5703125" style="1" bestFit="1" customWidth="1"/>
    <col min="12312" max="12312" width="8.85546875" style="1" bestFit="1" customWidth="1"/>
    <col min="12313" max="12313" width="14.140625" style="1" bestFit="1" customWidth="1"/>
    <col min="12314" max="12314" width="12.140625" style="1" customWidth="1"/>
    <col min="12315" max="12315" width="4.42578125" style="1" bestFit="1" customWidth="1"/>
    <col min="12316" max="12316" width="20.5703125" style="1" customWidth="1"/>
    <col min="12317" max="12317" width="10.42578125" style="1" bestFit="1" customWidth="1"/>
    <col min="12318" max="12318" width="9.85546875" style="1" customWidth="1"/>
    <col min="12319" max="12319" width="7.85546875" style="1" customWidth="1"/>
    <col min="12320" max="12320" width="9.5703125" style="1" customWidth="1"/>
    <col min="12321" max="12321" width="9.7109375" style="1" customWidth="1"/>
    <col min="12322" max="12322" width="10.42578125" style="1" customWidth="1"/>
    <col min="12323" max="12323" width="9.7109375" style="1" customWidth="1"/>
    <col min="12324" max="12324" width="8.28515625" style="1" customWidth="1"/>
    <col min="12325" max="12325" width="8.7109375" style="1" bestFit="1" customWidth="1"/>
    <col min="12326" max="12326" width="8.28515625" style="1" customWidth="1"/>
    <col min="12327" max="12327" width="10" style="1" customWidth="1"/>
    <col min="12328" max="12328" width="8.7109375" style="1" customWidth="1"/>
    <col min="12329" max="12329" width="10.42578125" style="1" customWidth="1"/>
    <col min="12330" max="12330" width="11.85546875" style="1" customWidth="1"/>
    <col min="12331" max="12331" width="7.42578125" style="1" bestFit="1" customWidth="1"/>
    <col min="12332" max="12332" width="8.42578125" style="1" bestFit="1" customWidth="1"/>
    <col min="12333" max="12333" width="10.42578125" style="1" customWidth="1"/>
    <col min="12334" max="12544" width="10" style="1"/>
    <col min="12545" max="12545" width="11.7109375" style="1" customWidth="1"/>
    <col min="12546" max="12546" width="13.5703125" style="1" customWidth="1"/>
    <col min="12547" max="12547" width="12.7109375" style="1" customWidth="1"/>
    <col min="12548" max="12548" width="13.140625" style="1" bestFit="1" customWidth="1"/>
    <col min="12549" max="12549" width="13" style="1" customWidth="1"/>
    <col min="12550" max="12550" width="15.28515625" style="1" bestFit="1" customWidth="1"/>
    <col min="12551" max="12551" width="11.7109375" style="1" bestFit="1" customWidth="1"/>
    <col min="12552" max="12552" width="13.140625" style="1" customWidth="1"/>
    <col min="12553" max="12553" width="9" style="1" bestFit="1" customWidth="1"/>
    <col min="12554" max="12554" width="11.7109375" style="1" customWidth="1"/>
    <col min="12555" max="12555" width="8.140625" style="1" customWidth="1"/>
    <col min="12556" max="12556" width="8.140625" style="1" bestFit="1" customWidth="1"/>
    <col min="12557" max="12557" width="15.5703125" style="1" customWidth="1"/>
    <col min="12558" max="12558" width="11.5703125" style="1" bestFit="1" customWidth="1"/>
    <col min="12559" max="12559" width="13.28515625" style="1" bestFit="1" customWidth="1"/>
    <col min="12560" max="12563" width="13.140625" style="1" bestFit="1" customWidth="1"/>
    <col min="12564" max="12565" width="15.5703125" style="1" customWidth="1"/>
    <col min="12566" max="12566" width="11.42578125" style="1" bestFit="1" customWidth="1"/>
    <col min="12567" max="12567" width="12.5703125" style="1" bestFit="1" customWidth="1"/>
    <col min="12568" max="12568" width="8.85546875" style="1" bestFit="1" customWidth="1"/>
    <col min="12569" max="12569" width="14.140625" style="1" bestFit="1" customWidth="1"/>
    <col min="12570" max="12570" width="12.140625" style="1" customWidth="1"/>
    <col min="12571" max="12571" width="4.42578125" style="1" bestFit="1" customWidth="1"/>
    <col min="12572" max="12572" width="20.5703125" style="1" customWidth="1"/>
    <col min="12573" max="12573" width="10.42578125" style="1" bestFit="1" customWidth="1"/>
    <col min="12574" max="12574" width="9.85546875" style="1" customWidth="1"/>
    <col min="12575" max="12575" width="7.85546875" style="1" customWidth="1"/>
    <col min="12576" max="12576" width="9.5703125" style="1" customWidth="1"/>
    <col min="12577" max="12577" width="9.7109375" style="1" customWidth="1"/>
    <col min="12578" max="12578" width="10.42578125" style="1" customWidth="1"/>
    <col min="12579" max="12579" width="9.7109375" style="1" customWidth="1"/>
    <col min="12580" max="12580" width="8.28515625" style="1" customWidth="1"/>
    <col min="12581" max="12581" width="8.7109375" style="1" bestFit="1" customWidth="1"/>
    <col min="12582" max="12582" width="8.28515625" style="1" customWidth="1"/>
    <col min="12583" max="12583" width="10" style="1" customWidth="1"/>
    <col min="12584" max="12584" width="8.7109375" style="1" customWidth="1"/>
    <col min="12585" max="12585" width="10.42578125" style="1" customWidth="1"/>
    <col min="12586" max="12586" width="11.85546875" style="1" customWidth="1"/>
    <col min="12587" max="12587" width="7.42578125" style="1" bestFit="1" customWidth="1"/>
    <col min="12588" max="12588" width="8.42578125" style="1" bestFit="1" customWidth="1"/>
    <col min="12589" max="12589" width="10.42578125" style="1" customWidth="1"/>
    <col min="12590" max="12800" width="10" style="1"/>
    <col min="12801" max="12801" width="11.7109375" style="1" customWidth="1"/>
    <col min="12802" max="12802" width="13.5703125" style="1" customWidth="1"/>
    <col min="12803" max="12803" width="12.7109375" style="1" customWidth="1"/>
    <col min="12804" max="12804" width="13.140625" style="1" bestFit="1" customWidth="1"/>
    <col min="12805" max="12805" width="13" style="1" customWidth="1"/>
    <col min="12806" max="12806" width="15.28515625" style="1" bestFit="1" customWidth="1"/>
    <col min="12807" max="12807" width="11.7109375" style="1" bestFit="1" customWidth="1"/>
    <col min="12808" max="12808" width="13.140625" style="1" customWidth="1"/>
    <col min="12809" max="12809" width="9" style="1" bestFit="1" customWidth="1"/>
    <col min="12810" max="12810" width="11.7109375" style="1" customWidth="1"/>
    <col min="12811" max="12811" width="8.140625" style="1" customWidth="1"/>
    <col min="12812" max="12812" width="8.140625" style="1" bestFit="1" customWidth="1"/>
    <col min="12813" max="12813" width="15.5703125" style="1" customWidth="1"/>
    <col min="12814" max="12814" width="11.5703125" style="1" bestFit="1" customWidth="1"/>
    <col min="12815" max="12815" width="13.28515625" style="1" bestFit="1" customWidth="1"/>
    <col min="12816" max="12819" width="13.140625" style="1" bestFit="1" customWidth="1"/>
    <col min="12820" max="12821" width="15.5703125" style="1" customWidth="1"/>
    <col min="12822" max="12822" width="11.42578125" style="1" bestFit="1" customWidth="1"/>
    <col min="12823" max="12823" width="12.5703125" style="1" bestFit="1" customWidth="1"/>
    <col min="12824" max="12824" width="8.85546875" style="1" bestFit="1" customWidth="1"/>
    <col min="12825" max="12825" width="14.140625" style="1" bestFit="1" customWidth="1"/>
    <col min="12826" max="12826" width="12.140625" style="1" customWidth="1"/>
    <col min="12827" max="12827" width="4.42578125" style="1" bestFit="1" customWidth="1"/>
    <col min="12828" max="12828" width="20.5703125" style="1" customWidth="1"/>
    <col min="12829" max="12829" width="10.42578125" style="1" bestFit="1" customWidth="1"/>
    <col min="12830" max="12830" width="9.85546875" style="1" customWidth="1"/>
    <col min="12831" max="12831" width="7.85546875" style="1" customWidth="1"/>
    <col min="12832" max="12832" width="9.5703125" style="1" customWidth="1"/>
    <col min="12833" max="12833" width="9.7109375" style="1" customWidth="1"/>
    <col min="12834" max="12834" width="10.42578125" style="1" customWidth="1"/>
    <col min="12835" max="12835" width="9.7109375" style="1" customWidth="1"/>
    <col min="12836" max="12836" width="8.28515625" style="1" customWidth="1"/>
    <col min="12837" max="12837" width="8.7109375" style="1" bestFit="1" customWidth="1"/>
    <col min="12838" max="12838" width="8.28515625" style="1" customWidth="1"/>
    <col min="12839" max="12839" width="10" style="1" customWidth="1"/>
    <col min="12840" max="12840" width="8.7109375" style="1" customWidth="1"/>
    <col min="12841" max="12841" width="10.42578125" style="1" customWidth="1"/>
    <col min="12842" max="12842" width="11.85546875" style="1" customWidth="1"/>
    <col min="12843" max="12843" width="7.42578125" style="1" bestFit="1" customWidth="1"/>
    <col min="12844" max="12844" width="8.42578125" style="1" bestFit="1" customWidth="1"/>
    <col min="12845" max="12845" width="10.42578125" style="1" customWidth="1"/>
    <col min="12846" max="13056" width="10" style="1"/>
    <col min="13057" max="13057" width="11.7109375" style="1" customWidth="1"/>
    <col min="13058" max="13058" width="13.5703125" style="1" customWidth="1"/>
    <col min="13059" max="13059" width="12.7109375" style="1" customWidth="1"/>
    <col min="13060" max="13060" width="13.140625" style="1" bestFit="1" customWidth="1"/>
    <col min="13061" max="13061" width="13" style="1" customWidth="1"/>
    <col min="13062" max="13062" width="15.28515625" style="1" bestFit="1" customWidth="1"/>
    <col min="13063" max="13063" width="11.7109375" style="1" bestFit="1" customWidth="1"/>
    <col min="13064" max="13064" width="13.140625" style="1" customWidth="1"/>
    <col min="13065" max="13065" width="9" style="1" bestFit="1" customWidth="1"/>
    <col min="13066" max="13066" width="11.7109375" style="1" customWidth="1"/>
    <col min="13067" max="13067" width="8.140625" style="1" customWidth="1"/>
    <col min="13068" max="13068" width="8.140625" style="1" bestFit="1" customWidth="1"/>
    <col min="13069" max="13069" width="15.5703125" style="1" customWidth="1"/>
    <col min="13070" max="13070" width="11.5703125" style="1" bestFit="1" customWidth="1"/>
    <col min="13071" max="13071" width="13.28515625" style="1" bestFit="1" customWidth="1"/>
    <col min="13072" max="13075" width="13.140625" style="1" bestFit="1" customWidth="1"/>
    <col min="13076" max="13077" width="15.5703125" style="1" customWidth="1"/>
    <col min="13078" max="13078" width="11.42578125" style="1" bestFit="1" customWidth="1"/>
    <col min="13079" max="13079" width="12.5703125" style="1" bestFit="1" customWidth="1"/>
    <col min="13080" max="13080" width="8.85546875" style="1" bestFit="1" customWidth="1"/>
    <col min="13081" max="13081" width="14.140625" style="1" bestFit="1" customWidth="1"/>
    <col min="13082" max="13082" width="12.140625" style="1" customWidth="1"/>
    <col min="13083" max="13083" width="4.42578125" style="1" bestFit="1" customWidth="1"/>
    <col min="13084" max="13084" width="20.5703125" style="1" customWidth="1"/>
    <col min="13085" max="13085" width="10.42578125" style="1" bestFit="1" customWidth="1"/>
    <col min="13086" max="13086" width="9.85546875" style="1" customWidth="1"/>
    <col min="13087" max="13087" width="7.85546875" style="1" customWidth="1"/>
    <col min="13088" max="13088" width="9.5703125" style="1" customWidth="1"/>
    <col min="13089" max="13089" width="9.7109375" style="1" customWidth="1"/>
    <col min="13090" max="13090" width="10.42578125" style="1" customWidth="1"/>
    <col min="13091" max="13091" width="9.7109375" style="1" customWidth="1"/>
    <col min="13092" max="13092" width="8.28515625" style="1" customWidth="1"/>
    <col min="13093" max="13093" width="8.7109375" style="1" bestFit="1" customWidth="1"/>
    <col min="13094" max="13094" width="8.28515625" style="1" customWidth="1"/>
    <col min="13095" max="13095" width="10" style="1" customWidth="1"/>
    <col min="13096" max="13096" width="8.7109375" style="1" customWidth="1"/>
    <col min="13097" max="13097" width="10.42578125" style="1" customWidth="1"/>
    <col min="13098" max="13098" width="11.85546875" style="1" customWidth="1"/>
    <col min="13099" max="13099" width="7.42578125" style="1" bestFit="1" customWidth="1"/>
    <col min="13100" max="13100" width="8.42578125" style="1" bestFit="1" customWidth="1"/>
    <col min="13101" max="13101" width="10.42578125" style="1" customWidth="1"/>
    <col min="13102" max="13312" width="10" style="1"/>
    <col min="13313" max="13313" width="11.7109375" style="1" customWidth="1"/>
    <col min="13314" max="13314" width="13.5703125" style="1" customWidth="1"/>
    <col min="13315" max="13315" width="12.7109375" style="1" customWidth="1"/>
    <col min="13316" max="13316" width="13.140625" style="1" bestFit="1" customWidth="1"/>
    <col min="13317" max="13317" width="13" style="1" customWidth="1"/>
    <col min="13318" max="13318" width="15.28515625" style="1" bestFit="1" customWidth="1"/>
    <col min="13319" max="13319" width="11.7109375" style="1" bestFit="1" customWidth="1"/>
    <col min="13320" max="13320" width="13.140625" style="1" customWidth="1"/>
    <col min="13321" max="13321" width="9" style="1" bestFit="1" customWidth="1"/>
    <col min="13322" max="13322" width="11.7109375" style="1" customWidth="1"/>
    <col min="13323" max="13323" width="8.140625" style="1" customWidth="1"/>
    <col min="13324" max="13324" width="8.140625" style="1" bestFit="1" customWidth="1"/>
    <col min="13325" max="13325" width="15.5703125" style="1" customWidth="1"/>
    <col min="13326" max="13326" width="11.5703125" style="1" bestFit="1" customWidth="1"/>
    <col min="13327" max="13327" width="13.28515625" style="1" bestFit="1" customWidth="1"/>
    <col min="13328" max="13331" width="13.140625" style="1" bestFit="1" customWidth="1"/>
    <col min="13332" max="13333" width="15.5703125" style="1" customWidth="1"/>
    <col min="13334" max="13334" width="11.42578125" style="1" bestFit="1" customWidth="1"/>
    <col min="13335" max="13335" width="12.5703125" style="1" bestFit="1" customWidth="1"/>
    <col min="13336" max="13336" width="8.85546875" style="1" bestFit="1" customWidth="1"/>
    <col min="13337" max="13337" width="14.140625" style="1" bestFit="1" customWidth="1"/>
    <col min="13338" max="13338" width="12.140625" style="1" customWidth="1"/>
    <col min="13339" max="13339" width="4.42578125" style="1" bestFit="1" customWidth="1"/>
    <col min="13340" max="13340" width="20.5703125" style="1" customWidth="1"/>
    <col min="13341" max="13341" width="10.42578125" style="1" bestFit="1" customWidth="1"/>
    <col min="13342" max="13342" width="9.85546875" style="1" customWidth="1"/>
    <col min="13343" max="13343" width="7.85546875" style="1" customWidth="1"/>
    <col min="13344" max="13344" width="9.5703125" style="1" customWidth="1"/>
    <col min="13345" max="13345" width="9.7109375" style="1" customWidth="1"/>
    <col min="13346" max="13346" width="10.42578125" style="1" customWidth="1"/>
    <col min="13347" max="13347" width="9.7109375" style="1" customWidth="1"/>
    <col min="13348" max="13348" width="8.28515625" style="1" customWidth="1"/>
    <col min="13349" max="13349" width="8.7109375" style="1" bestFit="1" customWidth="1"/>
    <col min="13350" max="13350" width="8.28515625" style="1" customWidth="1"/>
    <col min="13351" max="13351" width="10" style="1" customWidth="1"/>
    <col min="13352" max="13352" width="8.7109375" style="1" customWidth="1"/>
    <col min="13353" max="13353" width="10.42578125" style="1" customWidth="1"/>
    <col min="13354" max="13354" width="11.85546875" style="1" customWidth="1"/>
    <col min="13355" max="13355" width="7.42578125" style="1" bestFit="1" customWidth="1"/>
    <col min="13356" max="13356" width="8.42578125" style="1" bestFit="1" customWidth="1"/>
    <col min="13357" max="13357" width="10.42578125" style="1" customWidth="1"/>
    <col min="13358" max="13568" width="10" style="1"/>
    <col min="13569" max="13569" width="11.7109375" style="1" customWidth="1"/>
    <col min="13570" max="13570" width="13.5703125" style="1" customWidth="1"/>
    <col min="13571" max="13571" width="12.7109375" style="1" customWidth="1"/>
    <col min="13572" max="13572" width="13.140625" style="1" bestFit="1" customWidth="1"/>
    <col min="13573" max="13573" width="13" style="1" customWidth="1"/>
    <col min="13574" max="13574" width="15.28515625" style="1" bestFit="1" customWidth="1"/>
    <col min="13575" max="13575" width="11.7109375" style="1" bestFit="1" customWidth="1"/>
    <col min="13576" max="13576" width="13.140625" style="1" customWidth="1"/>
    <col min="13577" max="13577" width="9" style="1" bestFit="1" customWidth="1"/>
    <col min="13578" max="13578" width="11.7109375" style="1" customWidth="1"/>
    <col min="13579" max="13579" width="8.140625" style="1" customWidth="1"/>
    <col min="13580" max="13580" width="8.140625" style="1" bestFit="1" customWidth="1"/>
    <col min="13581" max="13581" width="15.5703125" style="1" customWidth="1"/>
    <col min="13582" max="13582" width="11.5703125" style="1" bestFit="1" customWidth="1"/>
    <col min="13583" max="13583" width="13.28515625" style="1" bestFit="1" customWidth="1"/>
    <col min="13584" max="13587" width="13.140625" style="1" bestFit="1" customWidth="1"/>
    <col min="13588" max="13589" width="15.5703125" style="1" customWidth="1"/>
    <col min="13590" max="13590" width="11.42578125" style="1" bestFit="1" customWidth="1"/>
    <col min="13591" max="13591" width="12.5703125" style="1" bestFit="1" customWidth="1"/>
    <col min="13592" max="13592" width="8.85546875" style="1" bestFit="1" customWidth="1"/>
    <col min="13593" max="13593" width="14.140625" style="1" bestFit="1" customWidth="1"/>
    <col min="13594" max="13594" width="12.140625" style="1" customWidth="1"/>
    <col min="13595" max="13595" width="4.42578125" style="1" bestFit="1" customWidth="1"/>
    <col min="13596" max="13596" width="20.5703125" style="1" customWidth="1"/>
    <col min="13597" max="13597" width="10.42578125" style="1" bestFit="1" customWidth="1"/>
    <col min="13598" max="13598" width="9.85546875" style="1" customWidth="1"/>
    <col min="13599" max="13599" width="7.85546875" style="1" customWidth="1"/>
    <col min="13600" max="13600" width="9.5703125" style="1" customWidth="1"/>
    <col min="13601" max="13601" width="9.7109375" style="1" customWidth="1"/>
    <col min="13602" max="13602" width="10.42578125" style="1" customWidth="1"/>
    <col min="13603" max="13603" width="9.7109375" style="1" customWidth="1"/>
    <col min="13604" max="13604" width="8.28515625" style="1" customWidth="1"/>
    <col min="13605" max="13605" width="8.7109375" style="1" bestFit="1" customWidth="1"/>
    <col min="13606" max="13606" width="8.28515625" style="1" customWidth="1"/>
    <col min="13607" max="13607" width="10" style="1" customWidth="1"/>
    <col min="13608" max="13608" width="8.7109375" style="1" customWidth="1"/>
    <col min="13609" max="13609" width="10.42578125" style="1" customWidth="1"/>
    <col min="13610" max="13610" width="11.85546875" style="1" customWidth="1"/>
    <col min="13611" max="13611" width="7.42578125" style="1" bestFit="1" customWidth="1"/>
    <col min="13612" max="13612" width="8.42578125" style="1" bestFit="1" customWidth="1"/>
    <col min="13613" max="13613" width="10.42578125" style="1" customWidth="1"/>
    <col min="13614" max="13824" width="10" style="1"/>
    <col min="13825" max="13825" width="11.7109375" style="1" customWidth="1"/>
    <col min="13826" max="13826" width="13.5703125" style="1" customWidth="1"/>
    <col min="13827" max="13827" width="12.7109375" style="1" customWidth="1"/>
    <col min="13828" max="13828" width="13.140625" style="1" bestFit="1" customWidth="1"/>
    <col min="13829" max="13829" width="13" style="1" customWidth="1"/>
    <col min="13830" max="13830" width="15.28515625" style="1" bestFit="1" customWidth="1"/>
    <col min="13831" max="13831" width="11.7109375" style="1" bestFit="1" customWidth="1"/>
    <col min="13832" max="13832" width="13.140625" style="1" customWidth="1"/>
    <col min="13833" max="13833" width="9" style="1" bestFit="1" customWidth="1"/>
    <col min="13834" max="13834" width="11.7109375" style="1" customWidth="1"/>
    <col min="13835" max="13835" width="8.140625" style="1" customWidth="1"/>
    <col min="13836" max="13836" width="8.140625" style="1" bestFit="1" customWidth="1"/>
    <col min="13837" max="13837" width="15.5703125" style="1" customWidth="1"/>
    <col min="13838" max="13838" width="11.5703125" style="1" bestFit="1" customWidth="1"/>
    <col min="13839" max="13839" width="13.28515625" style="1" bestFit="1" customWidth="1"/>
    <col min="13840" max="13843" width="13.140625" style="1" bestFit="1" customWidth="1"/>
    <col min="13844" max="13845" width="15.5703125" style="1" customWidth="1"/>
    <col min="13846" max="13846" width="11.42578125" style="1" bestFit="1" customWidth="1"/>
    <col min="13847" max="13847" width="12.5703125" style="1" bestFit="1" customWidth="1"/>
    <col min="13848" max="13848" width="8.85546875" style="1" bestFit="1" customWidth="1"/>
    <col min="13849" max="13849" width="14.140625" style="1" bestFit="1" customWidth="1"/>
    <col min="13850" max="13850" width="12.140625" style="1" customWidth="1"/>
    <col min="13851" max="13851" width="4.42578125" style="1" bestFit="1" customWidth="1"/>
    <col min="13852" max="13852" width="20.5703125" style="1" customWidth="1"/>
    <col min="13853" max="13853" width="10.42578125" style="1" bestFit="1" customWidth="1"/>
    <col min="13854" max="13854" width="9.85546875" style="1" customWidth="1"/>
    <col min="13855" max="13855" width="7.85546875" style="1" customWidth="1"/>
    <col min="13856" max="13856" width="9.5703125" style="1" customWidth="1"/>
    <col min="13857" max="13857" width="9.7109375" style="1" customWidth="1"/>
    <col min="13858" max="13858" width="10.42578125" style="1" customWidth="1"/>
    <col min="13859" max="13859" width="9.7109375" style="1" customWidth="1"/>
    <col min="13860" max="13860" width="8.28515625" style="1" customWidth="1"/>
    <col min="13861" max="13861" width="8.7109375" style="1" bestFit="1" customWidth="1"/>
    <col min="13862" max="13862" width="8.28515625" style="1" customWidth="1"/>
    <col min="13863" max="13863" width="10" style="1" customWidth="1"/>
    <col min="13864" max="13864" width="8.7109375" style="1" customWidth="1"/>
    <col min="13865" max="13865" width="10.42578125" style="1" customWidth="1"/>
    <col min="13866" max="13866" width="11.85546875" style="1" customWidth="1"/>
    <col min="13867" max="13867" width="7.42578125" style="1" bestFit="1" customWidth="1"/>
    <col min="13868" max="13868" width="8.42578125" style="1" bestFit="1" customWidth="1"/>
    <col min="13869" max="13869" width="10.42578125" style="1" customWidth="1"/>
    <col min="13870" max="14080" width="10" style="1"/>
    <col min="14081" max="14081" width="11.7109375" style="1" customWidth="1"/>
    <col min="14082" max="14082" width="13.5703125" style="1" customWidth="1"/>
    <col min="14083" max="14083" width="12.7109375" style="1" customWidth="1"/>
    <col min="14084" max="14084" width="13.140625" style="1" bestFit="1" customWidth="1"/>
    <col min="14085" max="14085" width="13" style="1" customWidth="1"/>
    <col min="14086" max="14086" width="15.28515625" style="1" bestFit="1" customWidth="1"/>
    <col min="14087" max="14087" width="11.7109375" style="1" bestFit="1" customWidth="1"/>
    <col min="14088" max="14088" width="13.140625" style="1" customWidth="1"/>
    <col min="14089" max="14089" width="9" style="1" bestFit="1" customWidth="1"/>
    <col min="14090" max="14090" width="11.7109375" style="1" customWidth="1"/>
    <col min="14091" max="14091" width="8.140625" style="1" customWidth="1"/>
    <col min="14092" max="14092" width="8.140625" style="1" bestFit="1" customWidth="1"/>
    <col min="14093" max="14093" width="15.5703125" style="1" customWidth="1"/>
    <col min="14094" max="14094" width="11.5703125" style="1" bestFit="1" customWidth="1"/>
    <col min="14095" max="14095" width="13.28515625" style="1" bestFit="1" customWidth="1"/>
    <col min="14096" max="14099" width="13.140625" style="1" bestFit="1" customWidth="1"/>
    <col min="14100" max="14101" width="15.5703125" style="1" customWidth="1"/>
    <col min="14102" max="14102" width="11.42578125" style="1" bestFit="1" customWidth="1"/>
    <col min="14103" max="14103" width="12.5703125" style="1" bestFit="1" customWidth="1"/>
    <col min="14104" max="14104" width="8.85546875" style="1" bestFit="1" customWidth="1"/>
    <col min="14105" max="14105" width="14.140625" style="1" bestFit="1" customWidth="1"/>
    <col min="14106" max="14106" width="12.140625" style="1" customWidth="1"/>
    <col min="14107" max="14107" width="4.42578125" style="1" bestFit="1" customWidth="1"/>
    <col min="14108" max="14108" width="20.5703125" style="1" customWidth="1"/>
    <col min="14109" max="14109" width="10.42578125" style="1" bestFit="1" customWidth="1"/>
    <col min="14110" max="14110" width="9.85546875" style="1" customWidth="1"/>
    <col min="14111" max="14111" width="7.85546875" style="1" customWidth="1"/>
    <col min="14112" max="14112" width="9.5703125" style="1" customWidth="1"/>
    <col min="14113" max="14113" width="9.7109375" style="1" customWidth="1"/>
    <col min="14114" max="14114" width="10.42578125" style="1" customWidth="1"/>
    <col min="14115" max="14115" width="9.7109375" style="1" customWidth="1"/>
    <col min="14116" max="14116" width="8.28515625" style="1" customWidth="1"/>
    <col min="14117" max="14117" width="8.7109375" style="1" bestFit="1" customWidth="1"/>
    <col min="14118" max="14118" width="8.28515625" style="1" customWidth="1"/>
    <col min="14119" max="14119" width="10" style="1" customWidth="1"/>
    <col min="14120" max="14120" width="8.7109375" style="1" customWidth="1"/>
    <col min="14121" max="14121" width="10.42578125" style="1" customWidth="1"/>
    <col min="14122" max="14122" width="11.85546875" style="1" customWidth="1"/>
    <col min="14123" max="14123" width="7.42578125" style="1" bestFit="1" customWidth="1"/>
    <col min="14124" max="14124" width="8.42578125" style="1" bestFit="1" customWidth="1"/>
    <col min="14125" max="14125" width="10.42578125" style="1" customWidth="1"/>
    <col min="14126" max="14336" width="10" style="1"/>
    <col min="14337" max="14337" width="11.7109375" style="1" customWidth="1"/>
    <col min="14338" max="14338" width="13.5703125" style="1" customWidth="1"/>
    <col min="14339" max="14339" width="12.7109375" style="1" customWidth="1"/>
    <col min="14340" max="14340" width="13.140625" style="1" bestFit="1" customWidth="1"/>
    <col min="14341" max="14341" width="13" style="1" customWidth="1"/>
    <col min="14342" max="14342" width="15.28515625" style="1" bestFit="1" customWidth="1"/>
    <col min="14343" max="14343" width="11.7109375" style="1" bestFit="1" customWidth="1"/>
    <col min="14344" max="14344" width="13.140625" style="1" customWidth="1"/>
    <col min="14345" max="14345" width="9" style="1" bestFit="1" customWidth="1"/>
    <col min="14346" max="14346" width="11.7109375" style="1" customWidth="1"/>
    <col min="14347" max="14347" width="8.140625" style="1" customWidth="1"/>
    <col min="14348" max="14348" width="8.140625" style="1" bestFit="1" customWidth="1"/>
    <col min="14349" max="14349" width="15.5703125" style="1" customWidth="1"/>
    <col min="14350" max="14350" width="11.5703125" style="1" bestFit="1" customWidth="1"/>
    <col min="14351" max="14351" width="13.28515625" style="1" bestFit="1" customWidth="1"/>
    <col min="14352" max="14355" width="13.140625" style="1" bestFit="1" customWidth="1"/>
    <col min="14356" max="14357" width="15.5703125" style="1" customWidth="1"/>
    <col min="14358" max="14358" width="11.42578125" style="1" bestFit="1" customWidth="1"/>
    <col min="14359" max="14359" width="12.5703125" style="1" bestFit="1" customWidth="1"/>
    <col min="14360" max="14360" width="8.85546875" style="1" bestFit="1" customWidth="1"/>
    <col min="14361" max="14361" width="14.140625" style="1" bestFit="1" customWidth="1"/>
    <col min="14362" max="14362" width="12.140625" style="1" customWidth="1"/>
    <col min="14363" max="14363" width="4.42578125" style="1" bestFit="1" customWidth="1"/>
    <col min="14364" max="14364" width="20.5703125" style="1" customWidth="1"/>
    <col min="14365" max="14365" width="10.42578125" style="1" bestFit="1" customWidth="1"/>
    <col min="14366" max="14366" width="9.85546875" style="1" customWidth="1"/>
    <col min="14367" max="14367" width="7.85546875" style="1" customWidth="1"/>
    <col min="14368" max="14368" width="9.5703125" style="1" customWidth="1"/>
    <col min="14369" max="14369" width="9.7109375" style="1" customWidth="1"/>
    <col min="14370" max="14370" width="10.42578125" style="1" customWidth="1"/>
    <col min="14371" max="14371" width="9.7109375" style="1" customWidth="1"/>
    <col min="14372" max="14372" width="8.28515625" style="1" customWidth="1"/>
    <col min="14373" max="14373" width="8.7109375" style="1" bestFit="1" customWidth="1"/>
    <col min="14374" max="14374" width="8.28515625" style="1" customWidth="1"/>
    <col min="14375" max="14375" width="10" style="1" customWidth="1"/>
    <col min="14376" max="14376" width="8.7109375" style="1" customWidth="1"/>
    <col min="14377" max="14377" width="10.42578125" style="1" customWidth="1"/>
    <col min="14378" max="14378" width="11.85546875" style="1" customWidth="1"/>
    <col min="14379" max="14379" width="7.42578125" style="1" bestFit="1" customWidth="1"/>
    <col min="14380" max="14380" width="8.42578125" style="1" bestFit="1" customWidth="1"/>
    <col min="14381" max="14381" width="10.42578125" style="1" customWidth="1"/>
    <col min="14382" max="14592" width="10" style="1"/>
    <col min="14593" max="14593" width="11.7109375" style="1" customWidth="1"/>
    <col min="14594" max="14594" width="13.5703125" style="1" customWidth="1"/>
    <col min="14595" max="14595" width="12.7109375" style="1" customWidth="1"/>
    <col min="14596" max="14596" width="13.140625" style="1" bestFit="1" customWidth="1"/>
    <col min="14597" max="14597" width="13" style="1" customWidth="1"/>
    <col min="14598" max="14598" width="15.28515625" style="1" bestFit="1" customWidth="1"/>
    <col min="14599" max="14599" width="11.7109375" style="1" bestFit="1" customWidth="1"/>
    <col min="14600" max="14600" width="13.140625" style="1" customWidth="1"/>
    <col min="14601" max="14601" width="9" style="1" bestFit="1" customWidth="1"/>
    <col min="14602" max="14602" width="11.7109375" style="1" customWidth="1"/>
    <col min="14603" max="14603" width="8.140625" style="1" customWidth="1"/>
    <col min="14604" max="14604" width="8.140625" style="1" bestFit="1" customWidth="1"/>
    <col min="14605" max="14605" width="15.5703125" style="1" customWidth="1"/>
    <col min="14606" max="14606" width="11.5703125" style="1" bestFit="1" customWidth="1"/>
    <col min="14607" max="14607" width="13.28515625" style="1" bestFit="1" customWidth="1"/>
    <col min="14608" max="14611" width="13.140625" style="1" bestFit="1" customWidth="1"/>
    <col min="14612" max="14613" width="15.5703125" style="1" customWidth="1"/>
    <col min="14614" max="14614" width="11.42578125" style="1" bestFit="1" customWidth="1"/>
    <col min="14615" max="14615" width="12.5703125" style="1" bestFit="1" customWidth="1"/>
    <col min="14616" max="14616" width="8.85546875" style="1" bestFit="1" customWidth="1"/>
    <col min="14617" max="14617" width="14.140625" style="1" bestFit="1" customWidth="1"/>
    <col min="14618" max="14618" width="12.140625" style="1" customWidth="1"/>
    <col min="14619" max="14619" width="4.42578125" style="1" bestFit="1" customWidth="1"/>
    <col min="14620" max="14620" width="20.5703125" style="1" customWidth="1"/>
    <col min="14621" max="14621" width="10.42578125" style="1" bestFit="1" customWidth="1"/>
    <col min="14622" max="14622" width="9.85546875" style="1" customWidth="1"/>
    <col min="14623" max="14623" width="7.85546875" style="1" customWidth="1"/>
    <col min="14624" max="14624" width="9.5703125" style="1" customWidth="1"/>
    <col min="14625" max="14625" width="9.7109375" style="1" customWidth="1"/>
    <col min="14626" max="14626" width="10.42578125" style="1" customWidth="1"/>
    <col min="14627" max="14627" width="9.7109375" style="1" customWidth="1"/>
    <col min="14628" max="14628" width="8.28515625" style="1" customWidth="1"/>
    <col min="14629" max="14629" width="8.7109375" style="1" bestFit="1" customWidth="1"/>
    <col min="14630" max="14630" width="8.28515625" style="1" customWidth="1"/>
    <col min="14631" max="14631" width="10" style="1" customWidth="1"/>
    <col min="14632" max="14632" width="8.7109375" style="1" customWidth="1"/>
    <col min="14633" max="14633" width="10.42578125" style="1" customWidth="1"/>
    <col min="14634" max="14634" width="11.85546875" style="1" customWidth="1"/>
    <col min="14635" max="14635" width="7.42578125" style="1" bestFit="1" customWidth="1"/>
    <col min="14636" max="14636" width="8.42578125" style="1" bestFit="1" customWidth="1"/>
    <col min="14637" max="14637" width="10.42578125" style="1" customWidth="1"/>
    <col min="14638" max="14848" width="10" style="1"/>
    <col min="14849" max="14849" width="11.7109375" style="1" customWidth="1"/>
    <col min="14850" max="14850" width="13.5703125" style="1" customWidth="1"/>
    <col min="14851" max="14851" width="12.7109375" style="1" customWidth="1"/>
    <col min="14852" max="14852" width="13.140625" style="1" bestFit="1" customWidth="1"/>
    <col min="14853" max="14853" width="13" style="1" customWidth="1"/>
    <col min="14854" max="14854" width="15.28515625" style="1" bestFit="1" customWidth="1"/>
    <col min="14855" max="14855" width="11.7109375" style="1" bestFit="1" customWidth="1"/>
    <col min="14856" max="14856" width="13.140625" style="1" customWidth="1"/>
    <col min="14857" max="14857" width="9" style="1" bestFit="1" customWidth="1"/>
    <col min="14858" max="14858" width="11.7109375" style="1" customWidth="1"/>
    <col min="14859" max="14859" width="8.140625" style="1" customWidth="1"/>
    <col min="14860" max="14860" width="8.140625" style="1" bestFit="1" customWidth="1"/>
    <col min="14861" max="14861" width="15.5703125" style="1" customWidth="1"/>
    <col min="14862" max="14862" width="11.5703125" style="1" bestFit="1" customWidth="1"/>
    <col min="14863" max="14863" width="13.28515625" style="1" bestFit="1" customWidth="1"/>
    <col min="14864" max="14867" width="13.140625" style="1" bestFit="1" customWidth="1"/>
    <col min="14868" max="14869" width="15.5703125" style="1" customWidth="1"/>
    <col min="14870" max="14870" width="11.42578125" style="1" bestFit="1" customWidth="1"/>
    <col min="14871" max="14871" width="12.5703125" style="1" bestFit="1" customWidth="1"/>
    <col min="14872" max="14872" width="8.85546875" style="1" bestFit="1" customWidth="1"/>
    <col min="14873" max="14873" width="14.140625" style="1" bestFit="1" customWidth="1"/>
    <col min="14874" max="14874" width="12.140625" style="1" customWidth="1"/>
    <col min="14875" max="14875" width="4.42578125" style="1" bestFit="1" customWidth="1"/>
    <col min="14876" max="14876" width="20.5703125" style="1" customWidth="1"/>
    <col min="14877" max="14877" width="10.42578125" style="1" bestFit="1" customWidth="1"/>
    <col min="14878" max="14878" width="9.85546875" style="1" customWidth="1"/>
    <col min="14879" max="14879" width="7.85546875" style="1" customWidth="1"/>
    <col min="14880" max="14880" width="9.5703125" style="1" customWidth="1"/>
    <col min="14881" max="14881" width="9.7109375" style="1" customWidth="1"/>
    <col min="14882" max="14882" width="10.42578125" style="1" customWidth="1"/>
    <col min="14883" max="14883" width="9.7109375" style="1" customWidth="1"/>
    <col min="14884" max="14884" width="8.28515625" style="1" customWidth="1"/>
    <col min="14885" max="14885" width="8.7109375" style="1" bestFit="1" customWidth="1"/>
    <col min="14886" max="14886" width="8.28515625" style="1" customWidth="1"/>
    <col min="14887" max="14887" width="10" style="1" customWidth="1"/>
    <col min="14888" max="14888" width="8.7109375" style="1" customWidth="1"/>
    <col min="14889" max="14889" width="10.42578125" style="1" customWidth="1"/>
    <col min="14890" max="14890" width="11.85546875" style="1" customWidth="1"/>
    <col min="14891" max="14891" width="7.42578125" style="1" bestFit="1" customWidth="1"/>
    <col min="14892" max="14892" width="8.42578125" style="1" bestFit="1" customWidth="1"/>
    <col min="14893" max="14893" width="10.42578125" style="1" customWidth="1"/>
    <col min="14894" max="15104" width="10" style="1"/>
    <col min="15105" max="15105" width="11.7109375" style="1" customWidth="1"/>
    <col min="15106" max="15106" width="13.5703125" style="1" customWidth="1"/>
    <col min="15107" max="15107" width="12.7109375" style="1" customWidth="1"/>
    <col min="15108" max="15108" width="13.140625" style="1" bestFit="1" customWidth="1"/>
    <col min="15109" max="15109" width="13" style="1" customWidth="1"/>
    <col min="15110" max="15110" width="15.28515625" style="1" bestFit="1" customWidth="1"/>
    <col min="15111" max="15111" width="11.7109375" style="1" bestFit="1" customWidth="1"/>
    <col min="15112" max="15112" width="13.140625" style="1" customWidth="1"/>
    <col min="15113" max="15113" width="9" style="1" bestFit="1" customWidth="1"/>
    <col min="15114" max="15114" width="11.7109375" style="1" customWidth="1"/>
    <col min="15115" max="15115" width="8.140625" style="1" customWidth="1"/>
    <col min="15116" max="15116" width="8.140625" style="1" bestFit="1" customWidth="1"/>
    <col min="15117" max="15117" width="15.5703125" style="1" customWidth="1"/>
    <col min="15118" max="15118" width="11.5703125" style="1" bestFit="1" customWidth="1"/>
    <col min="15119" max="15119" width="13.28515625" style="1" bestFit="1" customWidth="1"/>
    <col min="15120" max="15123" width="13.140625" style="1" bestFit="1" customWidth="1"/>
    <col min="15124" max="15125" width="15.5703125" style="1" customWidth="1"/>
    <col min="15126" max="15126" width="11.42578125" style="1" bestFit="1" customWidth="1"/>
    <col min="15127" max="15127" width="12.5703125" style="1" bestFit="1" customWidth="1"/>
    <col min="15128" max="15128" width="8.85546875" style="1" bestFit="1" customWidth="1"/>
    <col min="15129" max="15129" width="14.140625" style="1" bestFit="1" customWidth="1"/>
    <col min="15130" max="15130" width="12.140625" style="1" customWidth="1"/>
    <col min="15131" max="15131" width="4.42578125" style="1" bestFit="1" customWidth="1"/>
    <col min="15132" max="15132" width="20.5703125" style="1" customWidth="1"/>
    <col min="15133" max="15133" width="10.42578125" style="1" bestFit="1" customWidth="1"/>
    <col min="15134" max="15134" width="9.85546875" style="1" customWidth="1"/>
    <col min="15135" max="15135" width="7.85546875" style="1" customWidth="1"/>
    <col min="15136" max="15136" width="9.5703125" style="1" customWidth="1"/>
    <col min="15137" max="15137" width="9.7109375" style="1" customWidth="1"/>
    <col min="15138" max="15138" width="10.42578125" style="1" customWidth="1"/>
    <col min="15139" max="15139" width="9.7109375" style="1" customWidth="1"/>
    <col min="15140" max="15140" width="8.28515625" style="1" customWidth="1"/>
    <col min="15141" max="15141" width="8.7109375" style="1" bestFit="1" customWidth="1"/>
    <col min="15142" max="15142" width="8.28515625" style="1" customWidth="1"/>
    <col min="15143" max="15143" width="10" style="1" customWidth="1"/>
    <col min="15144" max="15144" width="8.7109375" style="1" customWidth="1"/>
    <col min="15145" max="15145" width="10.42578125" style="1" customWidth="1"/>
    <col min="15146" max="15146" width="11.85546875" style="1" customWidth="1"/>
    <col min="15147" max="15147" width="7.42578125" style="1" bestFit="1" customWidth="1"/>
    <col min="15148" max="15148" width="8.42578125" style="1" bestFit="1" customWidth="1"/>
    <col min="15149" max="15149" width="10.42578125" style="1" customWidth="1"/>
    <col min="15150" max="15360" width="10" style="1"/>
    <col min="15361" max="15361" width="11.7109375" style="1" customWidth="1"/>
    <col min="15362" max="15362" width="13.5703125" style="1" customWidth="1"/>
    <col min="15363" max="15363" width="12.7109375" style="1" customWidth="1"/>
    <col min="15364" max="15364" width="13.140625" style="1" bestFit="1" customWidth="1"/>
    <col min="15365" max="15365" width="13" style="1" customWidth="1"/>
    <col min="15366" max="15366" width="15.28515625" style="1" bestFit="1" customWidth="1"/>
    <col min="15367" max="15367" width="11.7109375" style="1" bestFit="1" customWidth="1"/>
    <col min="15368" max="15368" width="13.140625" style="1" customWidth="1"/>
    <col min="15369" max="15369" width="9" style="1" bestFit="1" customWidth="1"/>
    <col min="15370" max="15370" width="11.7109375" style="1" customWidth="1"/>
    <col min="15371" max="15371" width="8.140625" style="1" customWidth="1"/>
    <col min="15372" max="15372" width="8.140625" style="1" bestFit="1" customWidth="1"/>
    <col min="15373" max="15373" width="15.5703125" style="1" customWidth="1"/>
    <col min="15374" max="15374" width="11.5703125" style="1" bestFit="1" customWidth="1"/>
    <col min="15375" max="15375" width="13.28515625" style="1" bestFit="1" customWidth="1"/>
    <col min="15376" max="15379" width="13.140625" style="1" bestFit="1" customWidth="1"/>
    <col min="15380" max="15381" width="15.5703125" style="1" customWidth="1"/>
    <col min="15382" max="15382" width="11.42578125" style="1" bestFit="1" customWidth="1"/>
    <col min="15383" max="15383" width="12.5703125" style="1" bestFit="1" customWidth="1"/>
    <col min="15384" max="15384" width="8.85546875" style="1" bestFit="1" customWidth="1"/>
    <col min="15385" max="15385" width="14.140625" style="1" bestFit="1" customWidth="1"/>
    <col min="15386" max="15386" width="12.140625" style="1" customWidth="1"/>
    <col min="15387" max="15387" width="4.42578125" style="1" bestFit="1" customWidth="1"/>
    <col min="15388" max="15388" width="20.5703125" style="1" customWidth="1"/>
    <col min="15389" max="15389" width="10.42578125" style="1" bestFit="1" customWidth="1"/>
    <col min="15390" max="15390" width="9.85546875" style="1" customWidth="1"/>
    <col min="15391" max="15391" width="7.85546875" style="1" customWidth="1"/>
    <col min="15392" max="15392" width="9.5703125" style="1" customWidth="1"/>
    <col min="15393" max="15393" width="9.7109375" style="1" customWidth="1"/>
    <col min="15394" max="15394" width="10.42578125" style="1" customWidth="1"/>
    <col min="15395" max="15395" width="9.7109375" style="1" customWidth="1"/>
    <col min="15396" max="15396" width="8.28515625" style="1" customWidth="1"/>
    <col min="15397" max="15397" width="8.7109375" style="1" bestFit="1" customWidth="1"/>
    <col min="15398" max="15398" width="8.28515625" style="1" customWidth="1"/>
    <col min="15399" max="15399" width="10" style="1" customWidth="1"/>
    <col min="15400" max="15400" width="8.7109375" style="1" customWidth="1"/>
    <col min="15401" max="15401" width="10.42578125" style="1" customWidth="1"/>
    <col min="15402" max="15402" width="11.85546875" style="1" customWidth="1"/>
    <col min="15403" max="15403" width="7.42578125" style="1" bestFit="1" customWidth="1"/>
    <col min="15404" max="15404" width="8.42578125" style="1" bestFit="1" customWidth="1"/>
    <col min="15405" max="15405" width="10.42578125" style="1" customWidth="1"/>
    <col min="15406" max="15616" width="10" style="1"/>
    <col min="15617" max="15617" width="11.7109375" style="1" customWidth="1"/>
    <col min="15618" max="15618" width="13.5703125" style="1" customWidth="1"/>
    <col min="15619" max="15619" width="12.7109375" style="1" customWidth="1"/>
    <col min="15620" max="15620" width="13.140625" style="1" bestFit="1" customWidth="1"/>
    <col min="15621" max="15621" width="13" style="1" customWidth="1"/>
    <col min="15622" max="15622" width="15.28515625" style="1" bestFit="1" customWidth="1"/>
    <col min="15623" max="15623" width="11.7109375" style="1" bestFit="1" customWidth="1"/>
    <col min="15624" max="15624" width="13.140625" style="1" customWidth="1"/>
    <col min="15625" max="15625" width="9" style="1" bestFit="1" customWidth="1"/>
    <col min="15626" max="15626" width="11.7109375" style="1" customWidth="1"/>
    <col min="15627" max="15627" width="8.140625" style="1" customWidth="1"/>
    <col min="15628" max="15628" width="8.140625" style="1" bestFit="1" customWidth="1"/>
    <col min="15629" max="15629" width="15.5703125" style="1" customWidth="1"/>
    <col min="15630" max="15630" width="11.5703125" style="1" bestFit="1" customWidth="1"/>
    <col min="15631" max="15631" width="13.28515625" style="1" bestFit="1" customWidth="1"/>
    <col min="15632" max="15635" width="13.140625" style="1" bestFit="1" customWidth="1"/>
    <col min="15636" max="15637" width="15.5703125" style="1" customWidth="1"/>
    <col min="15638" max="15638" width="11.42578125" style="1" bestFit="1" customWidth="1"/>
    <col min="15639" max="15639" width="12.5703125" style="1" bestFit="1" customWidth="1"/>
    <col min="15640" max="15640" width="8.85546875" style="1" bestFit="1" customWidth="1"/>
    <col min="15641" max="15641" width="14.140625" style="1" bestFit="1" customWidth="1"/>
    <col min="15642" max="15642" width="12.140625" style="1" customWidth="1"/>
    <col min="15643" max="15643" width="4.42578125" style="1" bestFit="1" customWidth="1"/>
    <col min="15644" max="15644" width="20.5703125" style="1" customWidth="1"/>
    <col min="15645" max="15645" width="10.42578125" style="1" bestFit="1" customWidth="1"/>
    <col min="15646" max="15646" width="9.85546875" style="1" customWidth="1"/>
    <col min="15647" max="15647" width="7.85546875" style="1" customWidth="1"/>
    <col min="15648" max="15648" width="9.5703125" style="1" customWidth="1"/>
    <col min="15649" max="15649" width="9.7109375" style="1" customWidth="1"/>
    <col min="15650" max="15650" width="10.42578125" style="1" customWidth="1"/>
    <col min="15651" max="15651" width="9.7109375" style="1" customWidth="1"/>
    <col min="15652" max="15652" width="8.28515625" style="1" customWidth="1"/>
    <col min="15653" max="15653" width="8.7109375" style="1" bestFit="1" customWidth="1"/>
    <col min="15654" max="15654" width="8.28515625" style="1" customWidth="1"/>
    <col min="15655" max="15655" width="10" style="1" customWidth="1"/>
    <col min="15656" max="15656" width="8.7109375" style="1" customWidth="1"/>
    <col min="15657" max="15657" width="10.42578125" style="1" customWidth="1"/>
    <col min="15658" max="15658" width="11.85546875" style="1" customWidth="1"/>
    <col min="15659" max="15659" width="7.42578125" style="1" bestFit="1" customWidth="1"/>
    <col min="15660" max="15660" width="8.42578125" style="1" bestFit="1" customWidth="1"/>
    <col min="15661" max="15661" width="10.42578125" style="1" customWidth="1"/>
    <col min="15662" max="15872" width="10" style="1"/>
    <col min="15873" max="15873" width="11.7109375" style="1" customWidth="1"/>
    <col min="15874" max="15874" width="13.5703125" style="1" customWidth="1"/>
    <col min="15875" max="15875" width="12.7109375" style="1" customWidth="1"/>
    <col min="15876" max="15876" width="13.140625" style="1" bestFit="1" customWidth="1"/>
    <col min="15877" max="15877" width="13" style="1" customWidth="1"/>
    <col min="15878" max="15878" width="15.28515625" style="1" bestFit="1" customWidth="1"/>
    <col min="15879" max="15879" width="11.7109375" style="1" bestFit="1" customWidth="1"/>
    <col min="15880" max="15880" width="13.140625" style="1" customWidth="1"/>
    <col min="15881" max="15881" width="9" style="1" bestFit="1" customWidth="1"/>
    <col min="15882" max="15882" width="11.7109375" style="1" customWidth="1"/>
    <col min="15883" max="15883" width="8.140625" style="1" customWidth="1"/>
    <col min="15884" max="15884" width="8.140625" style="1" bestFit="1" customWidth="1"/>
    <col min="15885" max="15885" width="15.5703125" style="1" customWidth="1"/>
    <col min="15886" max="15886" width="11.5703125" style="1" bestFit="1" customWidth="1"/>
    <col min="15887" max="15887" width="13.28515625" style="1" bestFit="1" customWidth="1"/>
    <col min="15888" max="15891" width="13.140625" style="1" bestFit="1" customWidth="1"/>
    <col min="15892" max="15893" width="15.5703125" style="1" customWidth="1"/>
    <col min="15894" max="15894" width="11.42578125" style="1" bestFit="1" customWidth="1"/>
    <col min="15895" max="15895" width="12.5703125" style="1" bestFit="1" customWidth="1"/>
    <col min="15896" max="15896" width="8.85546875" style="1" bestFit="1" customWidth="1"/>
    <col min="15897" max="15897" width="14.140625" style="1" bestFit="1" customWidth="1"/>
    <col min="15898" max="15898" width="12.140625" style="1" customWidth="1"/>
    <col min="15899" max="15899" width="4.42578125" style="1" bestFit="1" customWidth="1"/>
    <col min="15900" max="15900" width="20.5703125" style="1" customWidth="1"/>
    <col min="15901" max="15901" width="10.42578125" style="1" bestFit="1" customWidth="1"/>
    <col min="15902" max="15902" width="9.85546875" style="1" customWidth="1"/>
    <col min="15903" max="15903" width="7.85546875" style="1" customWidth="1"/>
    <col min="15904" max="15904" width="9.5703125" style="1" customWidth="1"/>
    <col min="15905" max="15905" width="9.7109375" style="1" customWidth="1"/>
    <col min="15906" max="15906" width="10.42578125" style="1" customWidth="1"/>
    <col min="15907" max="15907" width="9.7109375" style="1" customWidth="1"/>
    <col min="15908" max="15908" width="8.28515625" style="1" customWidth="1"/>
    <col min="15909" max="15909" width="8.7109375" style="1" bestFit="1" customWidth="1"/>
    <col min="15910" max="15910" width="8.28515625" style="1" customWidth="1"/>
    <col min="15911" max="15911" width="10" style="1" customWidth="1"/>
    <col min="15912" max="15912" width="8.7109375" style="1" customWidth="1"/>
    <col min="15913" max="15913" width="10.42578125" style="1" customWidth="1"/>
    <col min="15914" max="15914" width="11.85546875" style="1" customWidth="1"/>
    <col min="15915" max="15915" width="7.42578125" style="1" bestFit="1" customWidth="1"/>
    <col min="15916" max="15916" width="8.42578125" style="1" bestFit="1" customWidth="1"/>
    <col min="15917" max="15917" width="10.42578125" style="1" customWidth="1"/>
    <col min="15918" max="16128" width="10" style="1"/>
    <col min="16129" max="16129" width="11.7109375" style="1" customWidth="1"/>
    <col min="16130" max="16130" width="13.5703125" style="1" customWidth="1"/>
    <col min="16131" max="16131" width="12.7109375" style="1" customWidth="1"/>
    <col min="16132" max="16132" width="13.140625" style="1" bestFit="1" customWidth="1"/>
    <col min="16133" max="16133" width="13" style="1" customWidth="1"/>
    <col min="16134" max="16134" width="15.28515625" style="1" bestFit="1" customWidth="1"/>
    <col min="16135" max="16135" width="11.7109375" style="1" bestFit="1" customWidth="1"/>
    <col min="16136" max="16136" width="13.140625" style="1" customWidth="1"/>
    <col min="16137" max="16137" width="9" style="1" bestFit="1" customWidth="1"/>
    <col min="16138" max="16138" width="11.7109375" style="1" customWidth="1"/>
    <col min="16139" max="16139" width="8.140625" style="1" customWidth="1"/>
    <col min="16140" max="16140" width="8.140625" style="1" bestFit="1" customWidth="1"/>
    <col min="16141" max="16141" width="15.5703125" style="1" customWidth="1"/>
    <col min="16142" max="16142" width="11.5703125" style="1" bestFit="1" customWidth="1"/>
    <col min="16143" max="16143" width="13.28515625" style="1" bestFit="1" customWidth="1"/>
    <col min="16144" max="16147" width="13.140625" style="1" bestFit="1" customWidth="1"/>
    <col min="16148" max="16149" width="15.5703125" style="1" customWidth="1"/>
    <col min="16150" max="16150" width="11.42578125" style="1" bestFit="1" customWidth="1"/>
    <col min="16151" max="16151" width="12.5703125" style="1" bestFit="1" customWidth="1"/>
    <col min="16152" max="16152" width="8.85546875" style="1" bestFit="1" customWidth="1"/>
    <col min="16153" max="16153" width="14.140625" style="1" bestFit="1" customWidth="1"/>
    <col min="16154" max="16154" width="12.140625" style="1" customWidth="1"/>
    <col min="16155" max="16155" width="4.42578125" style="1" bestFit="1" customWidth="1"/>
    <col min="16156" max="16156" width="20.5703125" style="1" customWidth="1"/>
    <col min="16157" max="16157" width="10.42578125" style="1" bestFit="1" customWidth="1"/>
    <col min="16158" max="16158" width="9.85546875" style="1" customWidth="1"/>
    <col min="16159" max="16159" width="7.85546875" style="1" customWidth="1"/>
    <col min="16160" max="16160" width="9.5703125" style="1" customWidth="1"/>
    <col min="16161" max="16161" width="9.7109375" style="1" customWidth="1"/>
    <col min="16162" max="16162" width="10.42578125" style="1" customWidth="1"/>
    <col min="16163" max="16163" width="9.7109375" style="1" customWidth="1"/>
    <col min="16164" max="16164" width="8.28515625" style="1" customWidth="1"/>
    <col min="16165" max="16165" width="8.7109375" style="1" bestFit="1" customWidth="1"/>
    <col min="16166" max="16166" width="8.28515625" style="1" customWidth="1"/>
    <col min="16167" max="16167" width="10" style="1" customWidth="1"/>
    <col min="16168" max="16168" width="8.7109375" style="1" customWidth="1"/>
    <col min="16169" max="16169" width="10.42578125" style="1" customWidth="1"/>
    <col min="16170" max="16170" width="11.85546875" style="1" customWidth="1"/>
    <col min="16171" max="16171" width="7.42578125" style="1" bestFit="1" customWidth="1"/>
    <col min="16172" max="16172" width="8.42578125" style="1" bestFit="1" customWidth="1"/>
    <col min="16173" max="16173" width="10.42578125" style="1" customWidth="1"/>
    <col min="16174" max="16384" width="10" style="1"/>
  </cols>
  <sheetData>
    <row r="1" spans="1:46" ht="13.5" thickBot="1" x14ac:dyDescent="0.25">
      <c r="A1" s="98" t="s">
        <v>132</v>
      </c>
      <c r="B1" s="4"/>
      <c r="C1" s="4"/>
      <c r="D1" s="99"/>
      <c r="E1" s="4"/>
      <c r="F1" s="4"/>
      <c r="G1" s="4"/>
      <c r="H1" s="4"/>
      <c r="I1" s="4"/>
      <c r="W1" s="1" t="s">
        <v>133</v>
      </c>
      <c r="X1" s="2" t="s">
        <v>134</v>
      </c>
      <c r="AB1" s="182" t="s">
        <v>278</v>
      </c>
      <c r="AC1" s="182" t="s">
        <v>51</v>
      </c>
      <c r="AD1" s="219"/>
      <c r="AE1" s="219"/>
      <c r="AF1" s="258"/>
      <c r="AG1" s="219"/>
      <c r="AH1" s="258"/>
      <c r="AI1" s="219"/>
      <c r="AJ1" s="258"/>
      <c r="AK1" s="220"/>
      <c r="AQ1" s="102" t="s">
        <v>133</v>
      </c>
    </row>
    <row r="2" spans="1:46" ht="13.5" thickBot="1" x14ac:dyDescent="0.25">
      <c r="A2" s="182" t="s">
        <v>276</v>
      </c>
      <c r="B2" s="213" t="s">
        <v>0</v>
      </c>
      <c r="C2" s="10" t="s">
        <v>1</v>
      </c>
      <c r="D2" s="10" t="s">
        <v>2</v>
      </c>
      <c r="E2" s="10" t="s">
        <v>3</v>
      </c>
      <c r="F2" s="12" t="s">
        <v>4</v>
      </c>
      <c r="G2" s="12"/>
      <c r="H2" s="10" t="s">
        <v>5</v>
      </c>
      <c r="I2" s="10" t="s">
        <v>6</v>
      </c>
      <c r="J2" s="10" t="s">
        <v>7</v>
      </c>
      <c r="K2" s="13" t="s">
        <v>8</v>
      </c>
      <c r="L2" s="13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10" t="s">
        <v>14</v>
      </c>
      <c r="R2" s="10" t="s">
        <v>15</v>
      </c>
      <c r="S2" s="10" t="s">
        <v>16</v>
      </c>
      <c r="T2" s="12" t="s">
        <v>17</v>
      </c>
      <c r="U2" s="12" t="s">
        <v>18</v>
      </c>
      <c r="V2" s="12" t="s">
        <v>19</v>
      </c>
      <c r="W2" s="12" t="s">
        <v>133</v>
      </c>
      <c r="X2" s="10" t="s">
        <v>20</v>
      </c>
      <c r="Y2" s="10" t="s">
        <v>21</v>
      </c>
      <c r="Z2" s="11"/>
      <c r="AA2" s="11"/>
      <c r="AB2" s="11" t="str">
        <f>A1</f>
        <v>Drap de bain TTC 2015 modif Alarme SI+EF+chg Soco+RS+DI+ mise à jour 1 alarme ASL = 10 points et caméras immeubles.</v>
      </c>
      <c r="AC2" s="11"/>
    </row>
    <row r="3" spans="1:46" ht="13.5" thickBot="1" x14ac:dyDescent="0.25">
      <c r="C3" s="2" t="s">
        <v>22</v>
      </c>
      <c r="D3" s="2" t="s">
        <v>23</v>
      </c>
      <c r="E3" s="2" t="s">
        <v>24</v>
      </c>
      <c r="F3" s="3" t="s">
        <v>25</v>
      </c>
      <c r="G3" s="3" t="s">
        <v>26</v>
      </c>
      <c r="H3" s="2" t="s">
        <v>135</v>
      </c>
      <c r="I3" s="2"/>
      <c r="J3" s="2"/>
      <c r="K3" s="2"/>
      <c r="L3" s="2"/>
      <c r="M3" s="2" t="s">
        <v>27</v>
      </c>
      <c r="N3" s="2" t="s">
        <v>28</v>
      </c>
      <c r="O3" s="2" t="s">
        <v>29</v>
      </c>
      <c r="P3" s="2" t="s">
        <v>30</v>
      </c>
      <c r="Q3" s="2" t="s">
        <v>31</v>
      </c>
      <c r="R3" s="2" t="s">
        <v>32</v>
      </c>
      <c r="S3" s="2" t="s">
        <v>33</v>
      </c>
      <c r="T3" s="3" t="s">
        <v>34</v>
      </c>
      <c r="U3" s="3" t="s">
        <v>34</v>
      </c>
      <c r="V3" s="3"/>
      <c r="W3" s="3"/>
      <c r="X3" s="2"/>
      <c r="Y3" s="2"/>
      <c r="AA3" s="103" t="s">
        <v>136</v>
      </c>
      <c r="AC3" s="185" t="s">
        <v>9</v>
      </c>
      <c r="AD3" s="183">
        <f>H59</f>
        <v>48731.421859956252</v>
      </c>
      <c r="AE3" s="2" t="s">
        <v>52</v>
      </c>
      <c r="AF3" s="5">
        <f>H57</f>
        <v>59057.794499791868</v>
      </c>
      <c r="AG3" s="185" t="s">
        <v>53</v>
      </c>
      <c r="AH3" s="183">
        <f>H61</f>
        <v>464007.76826415095</v>
      </c>
      <c r="AI3" s="2" t="s">
        <v>137</v>
      </c>
      <c r="AJ3" s="5">
        <f>H63</f>
        <v>3572.8430769230768</v>
      </c>
      <c r="AK3" s="2" t="s">
        <v>138</v>
      </c>
      <c r="AL3" s="5">
        <f>H94</f>
        <v>4554.38</v>
      </c>
      <c r="AM3" s="14" t="s">
        <v>139</v>
      </c>
      <c r="AN3" s="15">
        <f>H102</f>
        <v>0</v>
      </c>
      <c r="AO3" s="2" t="s">
        <v>140</v>
      </c>
      <c r="AP3" s="104" t="s">
        <v>54</v>
      </c>
      <c r="AQ3" s="2" t="s">
        <v>141</v>
      </c>
      <c r="AS3" s="50"/>
    </row>
    <row r="4" spans="1:46" x14ac:dyDescent="0.2">
      <c r="A4" s="2" t="s">
        <v>142</v>
      </c>
      <c r="T4" s="4"/>
      <c r="U4" s="4"/>
      <c r="V4" s="4"/>
      <c r="W4" s="4"/>
      <c r="Y4" s="5"/>
      <c r="AF4" s="5">
        <f>AD42</f>
        <v>3129.5408533916861</v>
      </c>
      <c r="AQ4" s="2" t="s">
        <v>143</v>
      </c>
      <c r="AR4" s="105" t="s">
        <v>144</v>
      </c>
      <c r="AS4" s="106">
        <f>H80</f>
        <v>25182.245093038087</v>
      </c>
    </row>
    <row r="5" spans="1:46" x14ac:dyDescent="0.2">
      <c r="A5" s="1">
        <v>3</v>
      </c>
      <c r="B5" s="4" t="s">
        <v>52</v>
      </c>
      <c r="C5" s="5">
        <v>8</v>
      </c>
      <c r="D5" s="5">
        <v>6</v>
      </c>
      <c r="E5" s="5"/>
      <c r="F5" s="5">
        <v>1</v>
      </c>
      <c r="G5" s="5">
        <v>2</v>
      </c>
      <c r="H5" s="107">
        <v>7038</v>
      </c>
      <c r="I5" s="107">
        <v>86</v>
      </c>
      <c r="J5" s="107">
        <v>21</v>
      </c>
      <c r="K5" s="5"/>
      <c r="L5" s="5"/>
      <c r="M5" s="5"/>
      <c r="N5" s="5"/>
      <c r="O5" s="5"/>
      <c r="P5" s="5"/>
      <c r="Q5" s="5"/>
      <c r="R5" s="5"/>
      <c r="S5" s="5"/>
      <c r="T5" s="107"/>
      <c r="U5" s="107"/>
      <c r="V5" s="107">
        <v>45</v>
      </c>
      <c r="W5" s="107">
        <v>0</v>
      </c>
      <c r="X5" s="5"/>
      <c r="Y5" s="5">
        <f t="shared" ref="Y5:Y37" si="0">SUM(C5:X5)</f>
        <v>7207</v>
      </c>
      <c r="AA5" s="1">
        <v>1</v>
      </c>
      <c r="AB5" s="1" t="s">
        <v>55</v>
      </c>
      <c r="AC5" s="4">
        <v>67</v>
      </c>
      <c r="AD5" s="5">
        <f t="shared" ref="AD5:AD17" si="1">$AD$3*AC5/$AC$47</f>
        <v>9984.7255798687111</v>
      </c>
      <c r="AE5" s="1">
        <v>41</v>
      </c>
      <c r="AF5" s="5">
        <f t="shared" ref="AF5:AF17" si="2">($AF$4+$AF$3)*AE5/$AE$47</f>
        <v>362.27347960791781</v>
      </c>
      <c r="AG5" s="1">
        <v>7</v>
      </c>
      <c r="AH5" s="5">
        <f t="shared" ref="AH5:AH17" si="3">$AH$3*AG5/$AG$47</f>
        <v>17945.051811320754</v>
      </c>
      <c r="AJ5" s="5">
        <f t="shared" ref="AJ5:AJ17" si="4">$AJ$3*AI5/$AI$47</f>
        <v>0</v>
      </c>
      <c r="AL5" s="5">
        <f t="shared" ref="AL5:AL17" si="5">$AL$3*AK5/$AK$47</f>
        <v>0</v>
      </c>
      <c r="AO5" s="50">
        <f>AS9</f>
        <v>282083.84906441247</v>
      </c>
      <c r="AP5" s="5">
        <f>AD5+AF5+AH5+AJ5+AL5+AO5</f>
        <v>310375.89993520983</v>
      </c>
      <c r="AQ5" s="2" t="s">
        <v>145</v>
      </c>
      <c r="AR5" s="108" t="s">
        <v>146</v>
      </c>
      <c r="AS5" s="109">
        <f>H92</f>
        <v>3468.5764409999997</v>
      </c>
      <c r="AT5" s="1" t="s">
        <v>133</v>
      </c>
    </row>
    <row r="6" spans="1:46" ht="13.5" thickBot="1" x14ac:dyDescent="0.25">
      <c r="A6" s="1">
        <v>4</v>
      </c>
      <c r="B6" s="1" t="s">
        <v>147</v>
      </c>
      <c r="C6" s="5"/>
      <c r="D6" s="5"/>
      <c r="E6" s="5"/>
      <c r="F6" s="5"/>
      <c r="G6" s="5"/>
      <c r="H6" s="107">
        <v>696</v>
      </c>
      <c r="I6" s="107"/>
      <c r="J6" s="107"/>
      <c r="K6" s="5"/>
      <c r="L6" s="5"/>
      <c r="M6" s="5">
        <v>110</v>
      </c>
      <c r="N6" s="5">
        <v>16</v>
      </c>
      <c r="O6" s="5">
        <v>26.5</v>
      </c>
      <c r="P6" s="5">
        <v>16</v>
      </c>
      <c r="Q6" s="5">
        <v>10.5</v>
      </c>
      <c r="R6" s="5">
        <v>16</v>
      </c>
      <c r="S6" s="5">
        <v>26.5</v>
      </c>
      <c r="T6" s="107">
        <v>21</v>
      </c>
      <c r="U6" s="107">
        <v>10.5</v>
      </c>
      <c r="V6" s="107">
        <v>84.75</v>
      </c>
      <c r="W6" s="107"/>
      <c r="X6" s="5"/>
      <c r="Y6" s="5">
        <f t="shared" si="0"/>
        <v>1033.75</v>
      </c>
      <c r="AA6" s="1">
        <v>2</v>
      </c>
      <c r="AB6" s="1" t="s">
        <v>56</v>
      </c>
      <c r="AD6" s="5">
        <f t="shared" si="1"/>
        <v>0</v>
      </c>
      <c r="AF6" s="5">
        <f t="shared" si="2"/>
        <v>0</v>
      </c>
      <c r="AH6" s="5">
        <f t="shared" si="3"/>
        <v>0</v>
      </c>
      <c r="AJ6" s="5">
        <f t="shared" si="4"/>
        <v>0</v>
      </c>
      <c r="AL6" s="5">
        <f t="shared" si="5"/>
        <v>0</v>
      </c>
      <c r="AO6" s="50"/>
      <c r="AP6" s="5">
        <f t="shared" ref="AP6:AP11" si="6">AD6+AF6+AH6+AJ6+AL6+AO6</f>
        <v>0</v>
      </c>
      <c r="AQ6" s="2" t="s">
        <v>148</v>
      </c>
      <c r="AR6" s="108" t="s">
        <v>149</v>
      </c>
      <c r="AS6" s="109">
        <f>H95</f>
        <v>30741.869999999995</v>
      </c>
    </row>
    <row r="7" spans="1:46" ht="13.5" thickBot="1" x14ac:dyDescent="0.25">
      <c r="A7" s="205">
        <v>5</v>
      </c>
      <c r="B7" s="206" t="s">
        <v>9</v>
      </c>
      <c r="C7" s="207">
        <f>SUM(6*10)</f>
        <v>60</v>
      </c>
      <c r="D7" s="207">
        <f>SUM(4*10)</f>
        <v>40</v>
      </c>
      <c r="E7" s="207">
        <f>SUM(4*10)</f>
        <v>40</v>
      </c>
      <c r="F7" s="207">
        <f>SUM(16*10)</f>
        <v>160</v>
      </c>
      <c r="G7" s="207">
        <v>0</v>
      </c>
      <c r="H7" s="207">
        <f>SUM(327*10)</f>
        <v>3270</v>
      </c>
      <c r="I7" s="207">
        <v>0</v>
      </c>
      <c r="J7" s="207">
        <v>0</v>
      </c>
      <c r="K7" s="207"/>
      <c r="L7" s="207"/>
      <c r="M7" s="207">
        <f>SUM(58*10)</f>
        <v>580</v>
      </c>
      <c r="N7" s="207">
        <f>SUM(5*10)</f>
        <v>50</v>
      </c>
      <c r="O7" s="207">
        <f>SUM(7*10)</f>
        <v>70</v>
      </c>
      <c r="P7" s="207">
        <f>SUM(6*10)</f>
        <v>60</v>
      </c>
      <c r="Q7" s="207">
        <f>SUM(4*10)</f>
        <v>40</v>
      </c>
      <c r="R7" s="207">
        <f>SUM(4*10)</f>
        <v>40</v>
      </c>
      <c r="S7" s="207">
        <f>SUM(5*10)</f>
        <v>50</v>
      </c>
      <c r="T7" s="207">
        <f>SUM(5*10)</f>
        <v>50</v>
      </c>
      <c r="U7" s="207">
        <f>SUM(5*10)</f>
        <v>50</v>
      </c>
      <c r="V7" s="207">
        <f>SUM(1*10)</f>
        <v>10</v>
      </c>
      <c r="W7" s="207"/>
      <c r="X7" s="207">
        <v>0</v>
      </c>
      <c r="Y7" s="208">
        <f t="shared" si="0"/>
        <v>4570</v>
      </c>
      <c r="AA7" s="1">
        <v>3</v>
      </c>
      <c r="AB7" s="1" t="s">
        <v>57</v>
      </c>
      <c r="AD7" s="5">
        <f t="shared" si="1"/>
        <v>0</v>
      </c>
      <c r="AF7" s="5">
        <f t="shared" si="2"/>
        <v>0</v>
      </c>
      <c r="AH7" s="5">
        <f t="shared" si="3"/>
        <v>0</v>
      </c>
      <c r="AJ7" s="5">
        <f t="shared" si="4"/>
        <v>0</v>
      </c>
      <c r="AL7" s="5">
        <f t="shared" si="5"/>
        <v>0</v>
      </c>
      <c r="AO7" s="50"/>
      <c r="AP7" s="5">
        <f t="shared" si="6"/>
        <v>0</v>
      </c>
      <c r="AQ7" s="2" t="s">
        <v>150</v>
      </c>
      <c r="AR7" s="108" t="s">
        <v>151</v>
      </c>
      <c r="AS7" s="109">
        <f>H98</f>
        <v>8914.1500398958651</v>
      </c>
      <c r="AT7" s="1" t="s">
        <v>152</v>
      </c>
    </row>
    <row r="8" spans="1:46" ht="13.5" thickBot="1" x14ac:dyDescent="0.25">
      <c r="A8" s="209">
        <v>6</v>
      </c>
      <c r="B8" s="210" t="s">
        <v>35</v>
      </c>
      <c r="C8" s="211"/>
      <c r="D8" s="211"/>
      <c r="E8" s="211"/>
      <c r="F8" s="211"/>
      <c r="G8" s="211"/>
      <c r="H8" s="211">
        <v>181</v>
      </c>
      <c r="I8" s="211"/>
      <c r="J8" s="211">
        <v>2</v>
      </c>
      <c r="K8" s="211"/>
      <c r="L8" s="211"/>
      <c r="M8" s="211">
        <v>82</v>
      </c>
      <c r="N8" s="211"/>
      <c r="O8" s="211"/>
      <c r="P8" s="211"/>
      <c r="Q8" s="211"/>
      <c r="R8" s="211"/>
      <c r="S8" s="211"/>
      <c r="T8" s="211"/>
      <c r="U8" s="211"/>
      <c r="V8" s="211">
        <v>0</v>
      </c>
      <c r="W8" s="211"/>
      <c r="X8" s="211"/>
      <c r="Y8" s="212">
        <f t="shared" si="0"/>
        <v>265</v>
      </c>
      <c r="AA8" s="1">
        <v>4</v>
      </c>
      <c r="AB8" s="1" t="s">
        <v>58</v>
      </c>
      <c r="AD8" s="5">
        <f t="shared" si="1"/>
        <v>0</v>
      </c>
      <c r="AF8" s="5">
        <f t="shared" si="2"/>
        <v>0</v>
      </c>
      <c r="AH8" s="5">
        <f t="shared" si="3"/>
        <v>0</v>
      </c>
      <c r="AJ8" s="5">
        <f t="shared" si="4"/>
        <v>0</v>
      </c>
      <c r="AL8" s="5">
        <f t="shared" si="5"/>
        <v>0</v>
      </c>
      <c r="AO8" s="50"/>
      <c r="AP8" s="5">
        <f t="shared" si="6"/>
        <v>0</v>
      </c>
      <c r="AQ8" s="2" t="s">
        <v>153</v>
      </c>
      <c r="AR8" s="110" t="s">
        <v>154</v>
      </c>
      <c r="AS8" s="111">
        <f>H113</f>
        <v>213777.00749047854</v>
      </c>
      <c r="AT8" s="1" t="s">
        <v>152</v>
      </c>
    </row>
    <row r="9" spans="1:46" x14ac:dyDescent="0.2">
      <c r="A9" s="1">
        <v>7</v>
      </c>
      <c r="B9" s="1" t="s">
        <v>155</v>
      </c>
      <c r="C9" s="5">
        <v>112</v>
      </c>
      <c r="D9" s="5">
        <v>36</v>
      </c>
      <c r="E9" s="5">
        <v>84</v>
      </c>
      <c r="F9" s="5">
        <v>105</v>
      </c>
      <c r="G9" s="5">
        <v>105</v>
      </c>
      <c r="H9" s="107">
        <v>459</v>
      </c>
      <c r="I9" s="5"/>
      <c r="J9" s="5"/>
      <c r="K9" s="5"/>
      <c r="L9" s="5"/>
      <c r="M9" s="5">
        <v>112</v>
      </c>
      <c r="N9" s="5">
        <v>42</v>
      </c>
      <c r="O9" s="5">
        <v>63</v>
      </c>
      <c r="P9" s="5">
        <v>49</v>
      </c>
      <c r="Q9" s="5">
        <v>35</v>
      </c>
      <c r="R9" s="5">
        <v>28</v>
      </c>
      <c r="S9" s="5">
        <v>56</v>
      </c>
      <c r="T9" s="107">
        <v>70</v>
      </c>
      <c r="U9" s="107">
        <v>28</v>
      </c>
      <c r="V9" s="107">
        <v>14</v>
      </c>
      <c r="W9" s="107"/>
      <c r="X9" s="5"/>
      <c r="Y9" s="5">
        <f t="shared" si="0"/>
        <v>1398</v>
      </c>
      <c r="AA9" s="1">
        <v>5</v>
      </c>
      <c r="AB9" s="1" t="s">
        <v>59</v>
      </c>
      <c r="AC9" s="1">
        <v>28</v>
      </c>
      <c r="AD9" s="5">
        <f t="shared" si="1"/>
        <v>4172.7211378555812</v>
      </c>
      <c r="AE9" s="1">
        <v>381</v>
      </c>
      <c r="AF9" s="5">
        <f t="shared" si="2"/>
        <v>3366.492578795529</v>
      </c>
      <c r="AG9" s="1">
        <v>4</v>
      </c>
      <c r="AH9" s="5">
        <f t="shared" si="3"/>
        <v>10254.315320754717</v>
      </c>
      <c r="AJ9" s="5">
        <f t="shared" si="4"/>
        <v>0</v>
      </c>
      <c r="AK9" s="1">
        <v>4</v>
      </c>
      <c r="AL9" s="5">
        <f t="shared" si="5"/>
        <v>607.25066666666669</v>
      </c>
      <c r="AO9" s="50"/>
      <c r="AP9" s="5">
        <f t="shared" si="6"/>
        <v>18400.779704072494</v>
      </c>
      <c r="AQ9" s="2"/>
      <c r="AR9" s="108" t="s">
        <v>156</v>
      </c>
      <c r="AS9" s="109">
        <f>SUM(AS4:AS8)</f>
        <v>282083.84906441247</v>
      </c>
    </row>
    <row r="10" spans="1:46" x14ac:dyDescent="0.2">
      <c r="A10" s="1">
        <v>8</v>
      </c>
      <c r="B10" s="4" t="s">
        <v>157</v>
      </c>
      <c r="C10" s="5"/>
      <c r="D10" s="5"/>
      <c r="E10" s="5"/>
      <c r="F10" s="5"/>
      <c r="G10" s="5"/>
      <c r="H10" s="107">
        <v>36</v>
      </c>
      <c r="I10" s="5">
        <v>2</v>
      </c>
      <c r="J10" s="5">
        <v>1</v>
      </c>
      <c r="K10" s="5"/>
      <c r="L10" s="5"/>
      <c r="M10" s="5"/>
      <c r="N10" s="5"/>
      <c r="O10" s="5"/>
      <c r="P10" s="5"/>
      <c r="Q10" s="5"/>
      <c r="R10" s="5"/>
      <c r="S10" s="5"/>
      <c r="T10" s="107"/>
      <c r="U10" s="107"/>
      <c r="V10" s="107"/>
      <c r="W10" s="107"/>
      <c r="X10" s="5"/>
      <c r="Y10" s="5">
        <f t="shared" si="0"/>
        <v>39</v>
      </c>
      <c r="AA10" s="1">
        <v>6</v>
      </c>
      <c r="AB10" s="1" t="s">
        <v>60</v>
      </c>
      <c r="AC10" s="1">
        <v>2</v>
      </c>
      <c r="AD10" s="5">
        <f t="shared" si="1"/>
        <v>298.05150984682723</v>
      </c>
      <c r="AF10" s="5">
        <f t="shared" si="2"/>
        <v>0</v>
      </c>
      <c r="AH10" s="5">
        <f t="shared" si="3"/>
        <v>0</v>
      </c>
      <c r="AJ10" s="5">
        <f t="shared" si="4"/>
        <v>0</v>
      </c>
      <c r="AL10" s="5">
        <f t="shared" si="5"/>
        <v>0</v>
      </c>
      <c r="AO10" s="50"/>
      <c r="AP10" s="5">
        <f t="shared" si="6"/>
        <v>298.05150984682723</v>
      </c>
      <c r="AQ10" s="2"/>
      <c r="AR10" s="108"/>
      <c r="AS10" s="109"/>
    </row>
    <row r="11" spans="1:46" x14ac:dyDescent="0.2">
      <c r="A11" s="1">
        <v>9</v>
      </c>
      <c r="B11" s="1" t="s">
        <v>158</v>
      </c>
      <c r="C11" s="5">
        <v>7379</v>
      </c>
      <c r="D11" s="5">
        <v>2572</v>
      </c>
      <c r="E11" s="5">
        <v>4747</v>
      </c>
      <c r="F11" s="5">
        <v>7373</v>
      </c>
      <c r="G11" s="5">
        <v>7673</v>
      </c>
      <c r="H11" s="5">
        <v>55835</v>
      </c>
      <c r="I11" s="5"/>
      <c r="J11" s="5"/>
      <c r="K11" s="5"/>
      <c r="L11" s="5"/>
      <c r="M11" s="5">
        <v>7521</v>
      </c>
      <c r="N11" s="5">
        <v>1939</v>
      </c>
      <c r="O11" s="5">
        <v>4006</v>
      </c>
      <c r="P11" s="5">
        <v>2650</v>
      </c>
      <c r="Q11" s="5">
        <v>1802</v>
      </c>
      <c r="R11" s="5">
        <v>1529</v>
      </c>
      <c r="S11" s="5">
        <v>2634</v>
      </c>
      <c r="T11" s="107">
        <v>3088</v>
      </c>
      <c r="U11" s="107">
        <v>1615</v>
      </c>
      <c r="V11" s="107">
        <v>310</v>
      </c>
      <c r="W11" s="107"/>
      <c r="X11" s="5"/>
      <c r="Y11" s="5">
        <f t="shared" si="0"/>
        <v>112673</v>
      </c>
      <c r="AA11" s="1">
        <v>7</v>
      </c>
      <c r="AB11" s="1" t="s">
        <v>61</v>
      </c>
      <c r="AC11" s="1">
        <v>1</v>
      </c>
      <c r="AD11" s="5">
        <f t="shared" si="1"/>
        <v>149.02575492341361</v>
      </c>
      <c r="AF11" s="5">
        <f t="shared" si="2"/>
        <v>0</v>
      </c>
      <c r="AH11" s="5">
        <f t="shared" si="3"/>
        <v>0</v>
      </c>
      <c r="AJ11" s="5">
        <f t="shared" si="4"/>
        <v>0</v>
      </c>
      <c r="AL11" s="5">
        <f t="shared" si="5"/>
        <v>0</v>
      </c>
      <c r="AO11" s="50"/>
      <c r="AP11" s="5">
        <f t="shared" si="6"/>
        <v>149.02575492341361</v>
      </c>
      <c r="AQ11" s="2" t="s">
        <v>159</v>
      </c>
      <c r="AR11" s="108" t="s">
        <v>160</v>
      </c>
      <c r="AS11" s="109">
        <f>H64</f>
        <v>185.83090003816355</v>
      </c>
    </row>
    <row r="12" spans="1:46" x14ac:dyDescent="0.2">
      <c r="A12" s="1">
        <v>11</v>
      </c>
      <c r="B12" s="1" t="s">
        <v>161</v>
      </c>
      <c r="C12" s="5">
        <v>7379</v>
      </c>
      <c r="D12" s="5">
        <v>2572</v>
      </c>
      <c r="E12" s="5">
        <v>4747</v>
      </c>
      <c r="F12" s="5">
        <v>7373</v>
      </c>
      <c r="G12" s="5">
        <v>7673</v>
      </c>
      <c r="H12" s="5">
        <v>55835</v>
      </c>
      <c r="I12" s="5"/>
      <c r="J12" s="5"/>
      <c r="K12" s="5"/>
      <c r="L12" s="5"/>
      <c r="M12" s="5">
        <v>7521</v>
      </c>
      <c r="N12" s="5">
        <v>1939</v>
      </c>
      <c r="O12" s="5">
        <v>4006</v>
      </c>
      <c r="P12" s="5">
        <v>2650</v>
      </c>
      <c r="Q12" s="5">
        <v>1802</v>
      </c>
      <c r="R12" s="5">
        <v>1529</v>
      </c>
      <c r="S12" s="5">
        <v>2634</v>
      </c>
      <c r="T12" s="107">
        <v>3088</v>
      </c>
      <c r="U12" s="107">
        <v>1615</v>
      </c>
      <c r="V12" s="107">
        <v>310</v>
      </c>
      <c r="W12" s="107"/>
      <c r="X12" s="5"/>
      <c r="Y12" s="5">
        <f t="shared" si="0"/>
        <v>112673</v>
      </c>
      <c r="AA12" s="1">
        <v>8</v>
      </c>
      <c r="AB12" s="1" t="s">
        <v>62</v>
      </c>
      <c r="AC12" s="1">
        <v>2</v>
      </c>
      <c r="AD12" s="5">
        <f t="shared" si="1"/>
        <v>298.05150984682723</v>
      </c>
      <c r="AF12" s="5">
        <f t="shared" si="2"/>
        <v>0</v>
      </c>
      <c r="AH12" s="5">
        <f t="shared" si="3"/>
        <v>0</v>
      </c>
      <c r="AJ12" s="5">
        <f t="shared" si="4"/>
        <v>0</v>
      </c>
      <c r="AL12" s="5">
        <f t="shared" si="5"/>
        <v>0</v>
      </c>
      <c r="AM12" s="14">
        <v>2</v>
      </c>
      <c r="AN12" s="15">
        <f>AN3*AM12/AM47</f>
        <v>0</v>
      </c>
      <c r="AO12" s="50"/>
      <c r="AP12" s="5">
        <f>AD12+AF12+AH12+AJ12+AL12+AN12+AO12</f>
        <v>298.05150984682723</v>
      </c>
      <c r="AQ12" s="2" t="s">
        <v>162</v>
      </c>
      <c r="AR12" s="108" t="s">
        <v>163</v>
      </c>
      <c r="AS12" s="109">
        <f>H65</f>
        <v>4261.8954163819199</v>
      </c>
    </row>
    <row r="13" spans="1:46" x14ac:dyDescent="0.2">
      <c r="A13" s="1">
        <v>12</v>
      </c>
      <c r="B13" s="1" t="s">
        <v>164</v>
      </c>
      <c r="C13" s="5"/>
      <c r="D13" s="5"/>
      <c r="E13" s="5"/>
      <c r="F13" s="5"/>
      <c r="G13" s="5"/>
      <c r="H13" s="5">
        <v>55835</v>
      </c>
      <c r="I13" s="5"/>
      <c r="J13" s="5"/>
      <c r="K13" s="5"/>
      <c r="L13" s="5"/>
      <c r="M13" s="5">
        <v>7521</v>
      </c>
      <c r="N13" s="5"/>
      <c r="O13" s="5"/>
      <c r="P13" s="5"/>
      <c r="Q13" s="5"/>
      <c r="R13" s="5"/>
      <c r="S13" s="5"/>
      <c r="T13" s="107"/>
      <c r="U13" s="107"/>
      <c r="V13" s="107"/>
      <c r="W13" s="107"/>
      <c r="X13" s="5"/>
      <c r="Y13" s="5">
        <f t="shared" si="0"/>
        <v>63356</v>
      </c>
      <c r="AA13" s="1">
        <v>9</v>
      </c>
      <c r="AB13" s="1" t="s">
        <v>63</v>
      </c>
      <c r="AC13" s="1">
        <v>1</v>
      </c>
      <c r="AD13" s="5">
        <f t="shared" si="1"/>
        <v>149.02575492341361</v>
      </c>
      <c r="AF13" s="5">
        <f t="shared" si="2"/>
        <v>0</v>
      </c>
      <c r="AH13" s="5">
        <f t="shared" si="3"/>
        <v>0</v>
      </c>
      <c r="AJ13" s="5">
        <f t="shared" si="4"/>
        <v>0</v>
      </c>
      <c r="AL13" s="5">
        <f t="shared" si="5"/>
        <v>0</v>
      </c>
      <c r="AM13" s="14">
        <v>1</v>
      </c>
      <c r="AN13" s="15">
        <f>AN3*AM13/AM47</f>
        <v>0</v>
      </c>
      <c r="AO13" s="50"/>
      <c r="AP13" s="5">
        <f>AD13+AF13+AH13+AJ13+AL13+AN13+AO13</f>
        <v>149.02575492341361</v>
      </c>
      <c r="AQ13" s="2" t="s">
        <v>165</v>
      </c>
      <c r="AR13" s="108" t="s">
        <v>166</v>
      </c>
      <c r="AS13" s="109">
        <f>H66</f>
        <v>106415.43262516573</v>
      </c>
    </row>
    <row r="14" spans="1:46" ht="13.5" thickBot="1" x14ac:dyDescent="0.25">
      <c r="A14" s="1">
        <v>13</v>
      </c>
      <c r="B14" s="1" t="s">
        <v>167</v>
      </c>
      <c r="C14" s="5">
        <v>7379</v>
      </c>
      <c r="D14" s="5">
        <v>2572</v>
      </c>
      <c r="E14" s="5">
        <v>4747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107"/>
      <c r="U14" s="107"/>
      <c r="V14" s="107"/>
      <c r="W14" s="107"/>
      <c r="X14" s="5"/>
      <c r="Y14" s="5">
        <f t="shared" si="0"/>
        <v>14698</v>
      </c>
      <c r="AA14" s="1">
        <v>10</v>
      </c>
      <c r="AB14" s="1" t="s">
        <v>64</v>
      </c>
      <c r="AC14" s="1">
        <v>28</v>
      </c>
      <c r="AD14" s="5">
        <f t="shared" si="1"/>
        <v>4172.7211378555812</v>
      </c>
      <c r="AE14" s="1">
        <v>1269</v>
      </c>
      <c r="AF14" s="5">
        <f t="shared" si="2"/>
        <v>11212.805990791407</v>
      </c>
      <c r="AG14" s="1">
        <v>15</v>
      </c>
      <c r="AH14" s="5">
        <f t="shared" si="3"/>
        <v>38453.682452830188</v>
      </c>
      <c r="AJ14" s="5">
        <f t="shared" si="4"/>
        <v>0</v>
      </c>
      <c r="AK14" s="1">
        <v>10</v>
      </c>
      <c r="AL14" s="5">
        <f t="shared" si="5"/>
        <v>1518.1266666666668</v>
      </c>
      <c r="AM14" s="14">
        <v>1</v>
      </c>
      <c r="AN14" s="15">
        <f>AN3*AM14/AM47</f>
        <v>0</v>
      </c>
      <c r="AO14" s="50"/>
      <c r="AP14" s="5">
        <f>AD14+AF14+AH14+AJ14+AL14+AN14+AO14</f>
        <v>55357.336248143838</v>
      </c>
      <c r="AQ14" s="2" t="s">
        <v>168</v>
      </c>
      <c r="AR14" s="108" t="s">
        <v>169</v>
      </c>
      <c r="AS14" s="109">
        <f>H69</f>
        <v>630</v>
      </c>
    </row>
    <row r="15" spans="1:46" ht="13.5" thickBot="1" x14ac:dyDescent="0.25">
      <c r="A15" s="1">
        <v>14</v>
      </c>
      <c r="B15" s="1" t="s">
        <v>170</v>
      </c>
      <c r="C15" s="5"/>
      <c r="D15" s="5"/>
      <c r="E15" s="5"/>
      <c r="F15" s="5">
        <v>7373</v>
      </c>
      <c r="G15" s="5"/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107"/>
      <c r="U15" s="107"/>
      <c r="V15" s="107"/>
      <c r="W15" s="107"/>
      <c r="X15" s="5"/>
      <c r="Y15" s="5">
        <f t="shared" si="0"/>
        <v>7373</v>
      </c>
      <c r="AA15" s="1">
        <v>11</v>
      </c>
      <c r="AB15" s="112" t="s">
        <v>65</v>
      </c>
      <c r="AC15" s="1">
        <v>31</v>
      </c>
      <c r="AD15" s="5">
        <f t="shared" si="1"/>
        <v>4619.7984026258218</v>
      </c>
      <c r="AE15" s="1">
        <v>1106</v>
      </c>
      <c r="AF15" s="5">
        <f t="shared" si="2"/>
        <v>9772.5480108867596</v>
      </c>
      <c r="AG15" s="1">
        <v>14</v>
      </c>
      <c r="AH15" s="113">
        <f t="shared" si="3"/>
        <v>35890.103622641509</v>
      </c>
      <c r="AJ15" s="5">
        <f t="shared" si="4"/>
        <v>0</v>
      </c>
      <c r="AK15" s="1">
        <v>8</v>
      </c>
      <c r="AL15" s="5">
        <f t="shared" si="5"/>
        <v>1214.5013333333334</v>
      </c>
      <c r="AM15" s="14">
        <v>3</v>
      </c>
      <c r="AN15" s="15">
        <f>AN3*AM15/AM47</f>
        <v>0</v>
      </c>
      <c r="AO15" s="50"/>
      <c r="AP15" s="5">
        <f>AD15+AF15+AH15+AJ15+AL15+AN15+AO15</f>
        <v>51496.951369487426</v>
      </c>
      <c r="AQ15" s="2"/>
      <c r="AR15" s="108" t="s">
        <v>171</v>
      </c>
      <c r="AS15" s="109">
        <f>SUM(AS11:AS14)</f>
        <v>111493.15894158582</v>
      </c>
      <c r="AT15" s="1" t="s">
        <v>172</v>
      </c>
    </row>
    <row r="16" spans="1:46" x14ac:dyDescent="0.2">
      <c r="A16" s="1">
        <v>15</v>
      </c>
      <c r="B16" s="1" t="s">
        <v>173</v>
      </c>
      <c r="C16" s="5"/>
      <c r="D16" s="5"/>
      <c r="E16" s="5"/>
      <c r="F16" s="5"/>
      <c r="G16" s="5"/>
      <c r="H16" s="5">
        <v>55835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107"/>
      <c r="U16" s="107"/>
      <c r="V16" s="107"/>
      <c r="W16" s="107"/>
      <c r="X16" s="5"/>
      <c r="Y16" s="5">
        <f t="shared" si="0"/>
        <v>55835</v>
      </c>
      <c r="AA16" s="1">
        <v>12</v>
      </c>
      <c r="AB16" s="1" t="s">
        <v>66</v>
      </c>
      <c r="AC16" s="1">
        <v>10</v>
      </c>
      <c r="AD16" s="5">
        <f t="shared" si="1"/>
        <v>1490.2575492341361</v>
      </c>
      <c r="AE16" s="1">
        <v>330</v>
      </c>
      <c r="AF16" s="5">
        <f t="shared" si="2"/>
        <v>2915.8597139173876</v>
      </c>
      <c r="AG16" s="1">
        <v>2</v>
      </c>
      <c r="AH16" s="5">
        <f t="shared" si="3"/>
        <v>5127.1576603773583</v>
      </c>
      <c r="AJ16" s="5">
        <f t="shared" si="4"/>
        <v>0</v>
      </c>
      <c r="AK16" s="1">
        <v>4</v>
      </c>
      <c r="AL16" s="5">
        <f t="shared" si="5"/>
        <v>607.25066666666669</v>
      </c>
      <c r="AO16" s="50"/>
      <c r="AP16" s="5">
        <f>AD16+AF16+AH16+AJ16+AL16+AO16</f>
        <v>10140.52559019555</v>
      </c>
      <c r="AQ16" s="2"/>
      <c r="AR16" s="108"/>
      <c r="AS16" s="109"/>
    </row>
    <row r="17" spans="1:46" x14ac:dyDescent="0.2">
      <c r="A17" s="1">
        <v>16</v>
      </c>
      <c r="B17" s="1" t="s">
        <v>174</v>
      </c>
      <c r="C17" s="5">
        <v>7379</v>
      </c>
      <c r="D17" s="5"/>
      <c r="E17" s="5"/>
      <c r="F17" s="5">
        <v>7373</v>
      </c>
      <c r="G17" s="5"/>
      <c r="H17" s="5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107"/>
      <c r="U17" s="107"/>
      <c r="V17" s="107"/>
      <c r="W17" s="107"/>
      <c r="X17" s="5"/>
      <c r="Y17" s="5">
        <f t="shared" si="0"/>
        <v>14752</v>
      </c>
      <c r="AA17" s="1">
        <v>114</v>
      </c>
      <c r="AB17" s="1" t="s">
        <v>67</v>
      </c>
      <c r="AC17" s="1">
        <v>1</v>
      </c>
      <c r="AD17" s="5">
        <f t="shared" si="1"/>
        <v>149.02575492341361</v>
      </c>
      <c r="AF17" s="5">
        <f t="shared" si="2"/>
        <v>0</v>
      </c>
      <c r="AH17" s="5">
        <f t="shared" si="3"/>
        <v>0</v>
      </c>
      <c r="AJ17" s="5">
        <f t="shared" si="4"/>
        <v>0</v>
      </c>
      <c r="AL17" s="5">
        <f t="shared" si="5"/>
        <v>0</v>
      </c>
      <c r="AO17" s="50"/>
      <c r="AP17" s="5">
        <f>AD17+AF17+AH17+AJ17+AL17+AO17</f>
        <v>149.02575492341361</v>
      </c>
      <c r="AQ17" s="2" t="s">
        <v>175</v>
      </c>
      <c r="AR17" s="108" t="s">
        <v>176</v>
      </c>
      <c r="AS17" s="109">
        <f>H73</f>
        <v>165163.60799999998</v>
      </c>
    </row>
    <row r="18" spans="1:46" x14ac:dyDescent="0.2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07"/>
      <c r="U18" s="107"/>
      <c r="V18" s="107"/>
      <c r="W18" s="107"/>
      <c r="X18" s="5"/>
      <c r="Y18" s="5"/>
      <c r="AO18" s="50"/>
      <c r="AQ18" s="114" t="s">
        <v>177</v>
      </c>
      <c r="AR18" s="1" t="s">
        <v>178</v>
      </c>
      <c r="AS18" s="109">
        <f>H74</f>
        <v>0</v>
      </c>
    </row>
    <row r="19" spans="1:46" x14ac:dyDescent="0.2">
      <c r="A19" s="1">
        <v>18</v>
      </c>
      <c r="B19" s="1" t="s">
        <v>179</v>
      </c>
      <c r="C19" s="5">
        <v>7379</v>
      </c>
      <c r="D19" s="5">
        <v>2572</v>
      </c>
      <c r="E19" s="5">
        <v>4747</v>
      </c>
      <c r="F19" s="5">
        <v>7373</v>
      </c>
      <c r="G19" s="5">
        <v>7673</v>
      </c>
      <c r="H19" s="5">
        <v>0</v>
      </c>
      <c r="I19" s="5"/>
      <c r="J19" s="5"/>
      <c r="K19" s="5"/>
      <c r="L19" s="5"/>
      <c r="M19" s="5"/>
      <c r="N19" s="5">
        <v>1939</v>
      </c>
      <c r="O19" s="5">
        <v>4006</v>
      </c>
      <c r="P19" s="5">
        <v>2650</v>
      </c>
      <c r="Q19" s="5">
        <v>1802</v>
      </c>
      <c r="R19" s="5">
        <v>1529</v>
      </c>
      <c r="S19" s="5">
        <v>2634</v>
      </c>
      <c r="T19" s="107">
        <v>3088</v>
      </c>
      <c r="U19" s="107">
        <v>1615</v>
      </c>
      <c r="V19" s="107">
        <v>310</v>
      </c>
      <c r="W19" s="107"/>
      <c r="X19" s="5"/>
      <c r="Y19" s="5">
        <f t="shared" si="0"/>
        <v>49317</v>
      </c>
      <c r="AA19" s="1">
        <v>15</v>
      </c>
      <c r="AB19" s="1" t="s">
        <v>68</v>
      </c>
      <c r="AC19" s="1">
        <v>1</v>
      </c>
      <c r="AD19" s="5">
        <f>$AD$3*AC19/$AC$47</f>
        <v>149.02575492341361</v>
      </c>
      <c r="AF19" s="5">
        <f>($AF$4+$AF$3)*AE19/$AE$47</f>
        <v>0</v>
      </c>
      <c r="AH19" s="5">
        <f>$AH$3*AG19/$AG$47</f>
        <v>0</v>
      </c>
      <c r="AJ19" s="5">
        <f>$AJ$3*AI19/$AI$47</f>
        <v>0</v>
      </c>
      <c r="AL19" s="5">
        <f>$AL$3*AK19/$AK$47</f>
        <v>0</v>
      </c>
      <c r="AO19" s="50"/>
      <c r="AP19" s="5">
        <f>AD19+AF19+AH19+AJ19+AL19+AO19</f>
        <v>149.02575492341361</v>
      </c>
      <c r="AQ19" s="2" t="s">
        <v>180</v>
      </c>
      <c r="AR19" s="108" t="s">
        <v>181</v>
      </c>
      <c r="AS19" s="109">
        <f>H75</f>
        <v>0</v>
      </c>
    </row>
    <row r="20" spans="1:46" x14ac:dyDescent="0.2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107"/>
      <c r="U20" s="107"/>
      <c r="V20" s="107"/>
      <c r="W20" s="107"/>
      <c r="X20" s="5"/>
      <c r="Y20" s="5"/>
      <c r="AO20" s="50"/>
      <c r="AQ20" s="2" t="s">
        <v>182</v>
      </c>
      <c r="AR20" s="108" t="s">
        <v>183</v>
      </c>
      <c r="AS20" s="109">
        <f>H77</f>
        <v>19254.944</v>
      </c>
    </row>
    <row r="21" spans="1:46" x14ac:dyDescent="0.2">
      <c r="A21" s="1">
        <v>19</v>
      </c>
      <c r="B21" s="1" t="s">
        <v>184</v>
      </c>
      <c r="C21" s="5"/>
      <c r="D21" s="5">
        <v>20</v>
      </c>
      <c r="E21" s="5"/>
      <c r="F21" s="5"/>
      <c r="G21" s="5"/>
      <c r="H21" s="5">
        <v>66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07"/>
      <c r="U21" s="107"/>
      <c r="V21" s="107">
        <v>14</v>
      </c>
      <c r="W21" s="107">
        <v>0</v>
      </c>
      <c r="X21" s="5"/>
      <c r="Y21" s="5">
        <f t="shared" si="0"/>
        <v>100</v>
      </c>
      <c r="AA21" s="1">
        <v>16</v>
      </c>
      <c r="AB21" s="1" t="s">
        <v>69</v>
      </c>
      <c r="AC21" s="1">
        <v>1</v>
      </c>
      <c r="AD21" s="5">
        <f t="shared" ref="AD21:AD35" si="7">$AD$3*AC21/$AC$47</f>
        <v>149.02575492341361</v>
      </c>
      <c r="AF21" s="5">
        <f t="shared" ref="AF21:AF35" si="8">($AF$4+$AF$3)*AE21/$AE$47</f>
        <v>0</v>
      </c>
      <c r="AH21" s="5">
        <f t="shared" ref="AH21:AH35" si="9">$AH$3*AG21/$AG$47</f>
        <v>0</v>
      </c>
      <c r="AJ21" s="5">
        <f t="shared" ref="AJ21:AJ35" si="10">$AJ$3*AI21/$AI$47</f>
        <v>0</v>
      </c>
      <c r="AL21" s="5">
        <f t="shared" ref="AL21:AL35" si="11">$AL$3*AK21/$AK$47</f>
        <v>0</v>
      </c>
      <c r="AO21" s="50"/>
      <c r="AP21" s="5">
        <f>AD21+AF21+AH21+AJ21+AL21+AO21</f>
        <v>149.02575492341361</v>
      </c>
      <c r="AQ21" s="2"/>
      <c r="AR21" s="108" t="s">
        <v>185</v>
      </c>
      <c r="AS21" s="109">
        <f>SUM(AS17:AS20)</f>
        <v>184418.55199999997</v>
      </c>
      <c r="AT21" s="1" t="s">
        <v>172</v>
      </c>
    </row>
    <row r="22" spans="1:46" ht="13.5" thickBot="1" x14ac:dyDescent="0.25">
      <c r="A22" s="1">
        <v>20</v>
      </c>
      <c r="B22" s="1" t="s">
        <v>186</v>
      </c>
      <c r="C22" s="5">
        <v>2.13</v>
      </c>
      <c r="D22" s="5">
        <v>0.74</v>
      </c>
      <c r="E22" s="5">
        <v>1.37</v>
      </c>
      <c r="F22" s="5">
        <v>2.13</v>
      </c>
      <c r="G22" s="5">
        <v>2.21</v>
      </c>
      <c r="H22" s="5">
        <v>80</v>
      </c>
      <c r="I22" s="5"/>
      <c r="J22" s="5"/>
      <c r="K22" s="5"/>
      <c r="L22" s="5"/>
      <c r="M22" s="5">
        <v>5.78</v>
      </c>
      <c r="N22" s="5">
        <v>0.56000000000000005</v>
      </c>
      <c r="O22" s="5">
        <v>1.1499999999999999</v>
      </c>
      <c r="P22" s="5">
        <v>0.76</v>
      </c>
      <c r="Q22" s="5">
        <v>0.52</v>
      </c>
      <c r="R22" s="5">
        <v>0.44</v>
      </c>
      <c r="S22" s="5">
        <v>0.76</v>
      </c>
      <c r="T22" s="107">
        <v>0.89</v>
      </c>
      <c r="U22" s="107">
        <v>0.47</v>
      </c>
      <c r="V22" s="107">
        <v>0.09</v>
      </c>
      <c r="W22" s="107"/>
      <c r="X22" s="5"/>
      <c r="Y22" s="5">
        <f t="shared" si="0"/>
        <v>100.00000000000001</v>
      </c>
      <c r="AA22" s="1">
        <v>17</v>
      </c>
      <c r="AB22" s="1" t="s">
        <v>70</v>
      </c>
      <c r="AC22" s="1">
        <v>5</v>
      </c>
      <c r="AD22" s="5">
        <f t="shared" si="7"/>
        <v>745.12877461706807</v>
      </c>
      <c r="AE22" s="1">
        <v>151</v>
      </c>
      <c r="AF22" s="5">
        <f t="shared" si="8"/>
        <v>1334.2267175803804</v>
      </c>
      <c r="AG22" s="1">
        <v>8</v>
      </c>
      <c r="AH22" s="5">
        <f t="shared" si="9"/>
        <v>20508.630641509433</v>
      </c>
      <c r="AI22" s="1">
        <v>2</v>
      </c>
      <c r="AJ22" s="5">
        <f t="shared" si="10"/>
        <v>198.49128205128204</v>
      </c>
      <c r="AL22" s="5">
        <f t="shared" si="11"/>
        <v>0</v>
      </c>
      <c r="AM22" s="14">
        <v>1</v>
      </c>
      <c r="AN22" s="15">
        <f>AN3*AM22/AM47</f>
        <v>0</v>
      </c>
      <c r="AO22" s="50"/>
      <c r="AP22" s="5">
        <f>AD22+AF22+AH22+AJ22+AL22+AN22+AO22</f>
        <v>22786.477415758163</v>
      </c>
      <c r="AQ22" s="114"/>
      <c r="AS22" s="109"/>
    </row>
    <row r="23" spans="1:46" ht="13.5" thickBot="1" x14ac:dyDescent="0.25">
      <c r="A23" s="1">
        <v>21</v>
      </c>
      <c r="B23" s="1" t="s">
        <v>187</v>
      </c>
      <c r="C23" s="5"/>
      <c r="D23" s="5"/>
      <c r="E23" s="5"/>
      <c r="F23" s="5"/>
      <c r="G23" s="5">
        <v>7673</v>
      </c>
      <c r="H23" s="5">
        <v>6971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107"/>
      <c r="U23" s="107"/>
      <c r="V23" s="107"/>
      <c r="W23" s="107"/>
      <c r="X23" s="5"/>
      <c r="Y23" s="5">
        <f t="shared" si="0"/>
        <v>14644</v>
      </c>
      <c r="AA23" s="1">
        <v>18</v>
      </c>
      <c r="AB23" s="112" t="s">
        <v>71</v>
      </c>
      <c r="AC23" s="1">
        <v>39.5</v>
      </c>
      <c r="AD23" s="5">
        <f t="shared" si="7"/>
        <v>5886.5173194748377</v>
      </c>
      <c r="AE23" s="1">
        <v>209</v>
      </c>
      <c r="AF23" s="5">
        <f t="shared" si="8"/>
        <v>1846.7111521476788</v>
      </c>
      <c r="AG23" s="18">
        <v>17</v>
      </c>
      <c r="AH23" s="113">
        <f t="shared" si="9"/>
        <v>43580.840113207545</v>
      </c>
      <c r="AI23" s="1">
        <v>4</v>
      </c>
      <c r="AJ23" s="5">
        <f t="shared" si="10"/>
        <v>396.98256410256408</v>
      </c>
      <c r="AK23" s="1">
        <v>4</v>
      </c>
      <c r="AL23" s="5">
        <f t="shared" si="11"/>
        <v>607.25066666666669</v>
      </c>
      <c r="AM23" s="14">
        <v>9</v>
      </c>
      <c r="AN23" s="15">
        <f>AN3*AM23/AM47</f>
        <v>0</v>
      </c>
      <c r="AO23" s="50">
        <f>H62</f>
        <v>0</v>
      </c>
      <c r="AP23" s="5">
        <f>AD23+AF23+AH23+AJ23+AL23+AN23+AO23</f>
        <v>52318.301815599298</v>
      </c>
      <c r="AQ23" s="114"/>
      <c r="AR23" s="115"/>
      <c r="AS23" s="116"/>
    </row>
    <row r="24" spans="1:46" x14ac:dyDescent="0.2">
      <c r="A24" s="1">
        <v>22</v>
      </c>
      <c r="B24" s="1" t="s">
        <v>188</v>
      </c>
      <c r="C24" s="5">
        <v>7379</v>
      </c>
      <c r="D24" s="5"/>
      <c r="E24" s="5"/>
      <c r="F24" s="5">
        <v>7373</v>
      </c>
      <c r="G24" s="5"/>
      <c r="H24" s="5">
        <v>6971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07"/>
      <c r="U24" s="107"/>
      <c r="V24" s="107"/>
      <c r="W24" s="107"/>
      <c r="X24" s="5"/>
      <c r="Y24" s="5">
        <f t="shared" si="0"/>
        <v>21723</v>
      </c>
      <c r="AA24" s="1">
        <v>119</v>
      </c>
      <c r="AB24" s="1" t="s">
        <v>72</v>
      </c>
      <c r="AC24" s="1">
        <v>24</v>
      </c>
      <c r="AD24" s="5">
        <f t="shared" si="7"/>
        <v>3576.6181181619268</v>
      </c>
      <c r="AE24" s="1">
        <v>23</v>
      </c>
      <c r="AF24" s="5">
        <f t="shared" si="8"/>
        <v>203.22658612151486</v>
      </c>
      <c r="AG24" s="1">
        <v>6</v>
      </c>
      <c r="AH24" s="5">
        <f t="shared" si="9"/>
        <v>15381.472981132076</v>
      </c>
      <c r="AJ24" s="5">
        <f t="shared" si="10"/>
        <v>0</v>
      </c>
      <c r="AL24" s="5">
        <f t="shared" si="11"/>
        <v>0</v>
      </c>
      <c r="AO24" s="50"/>
      <c r="AP24" s="5">
        <f>AD24+AF24+AH24+AJ24+AL24+AO24</f>
        <v>19161.317685415517</v>
      </c>
    </row>
    <row r="25" spans="1:46" x14ac:dyDescent="0.2">
      <c r="B25" s="4" t="s">
        <v>189</v>
      </c>
      <c r="C25" s="5">
        <f>C11*3</f>
        <v>22137</v>
      </c>
      <c r="D25" s="5">
        <f>D11*3</f>
        <v>7716</v>
      </c>
      <c r="E25" s="5">
        <f>E11*3</f>
        <v>14241</v>
      </c>
      <c r="F25" s="5">
        <f>F11*3</f>
        <v>22119</v>
      </c>
      <c r="G25" s="5">
        <f>G11*3</f>
        <v>23019</v>
      </c>
      <c r="H25" s="5">
        <f>1249920+31500+250</f>
        <v>1281670</v>
      </c>
      <c r="I25" s="5"/>
      <c r="J25" s="5"/>
      <c r="K25" s="5"/>
      <c r="L25" s="5"/>
      <c r="M25" s="5">
        <f>M12*8</f>
        <v>60168</v>
      </c>
      <c r="N25" s="5">
        <f>N11*3</f>
        <v>5817</v>
      </c>
      <c r="O25" s="5">
        <f t="shared" ref="O25:V25" si="12">O11*3</f>
        <v>12018</v>
      </c>
      <c r="P25" s="5">
        <f t="shared" si="12"/>
        <v>7950</v>
      </c>
      <c r="Q25" s="5">
        <f t="shared" si="12"/>
        <v>5406</v>
      </c>
      <c r="R25" s="5">
        <f t="shared" si="12"/>
        <v>4587</v>
      </c>
      <c r="S25" s="5">
        <f t="shared" si="12"/>
        <v>7902</v>
      </c>
      <c r="T25" s="107">
        <f t="shared" si="12"/>
        <v>9264</v>
      </c>
      <c r="U25" s="107">
        <f t="shared" si="12"/>
        <v>4845</v>
      </c>
      <c r="V25" s="107">
        <f t="shared" si="12"/>
        <v>930</v>
      </c>
      <c r="W25" s="107"/>
      <c r="X25" s="5"/>
      <c r="Y25" s="5"/>
      <c r="AA25" s="1">
        <v>211</v>
      </c>
      <c r="AB25" s="1" t="s">
        <v>73</v>
      </c>
      <c r="AC25" s="1">
        <v>7</v>
      </c>
      <c r="AD25" s="5">
        <f t="shared" si="7"/>
        <v>1043.1802844638953</v>
      </c>
      <c r="AE25" s="1">
        <v>15</v>
      </c>
      <c r="AF25" s="5">
        <f t="shared" si="8"/>
        <v>132.5390779053358</v>
      </c>
      <c r="AG25" s="1">
        <v>4</v>
      </c>
      <c r="AH25" s="5">
        <f t="shared" si="9"/>
        <v>10254.315320754717</v>
      </c>
      <c r="AJ25" s="5">
        <f t="shared" si="10"/>
        <v>0</v>
      </c>
      <c r="AL25" s="5">
        <f t="shared" si="11"/>
        <v>0</v>
      </c>
      <c r="AM25" s="14">
        <v>1</v>
      </c>
      <c r="AN25" s="15">
        <f>AN3*AM25/AM47</f>
        <v>0</v>
      </c>
      <c r="AO25" s="50"/>
      <c r="AP25" s="5">
        <f>AD25+AF25+AH25+AJ25+AL25+AN25+AO25</f>
        <v>11430.034683123948</v>
      </c>
    </row>
    <row r="26" spans="1:46" x14ac:dyDescent="0.2">
      <c r="A26" s="1">
        <v>23</v>
      </c>
      <c r="B26" s="1" t="s">
        <v>190</v>
      </c>
      <c r="C26" s="5">
        <v>22137</v>
      </c>
      <c r="D26" s="5">
        <v>7716</v>
      </c>
      <c r="E26" s="5">
        <v>14241</v>
      </c>
      <c r="F26" s="5">
        <v>22119</v>
      </c>
      <c r="G26" s="5">
        <v>23019</v>
      </c>
      <c r="H26" s="5">
        <v>1281670</v>
      </c>
      <c r="I26" s="5"/>
      <c r="J26" s="5"/>
      <c r="K26" s="5"/>
      <c r="L26" s="5"/>
      <c r="M26" s="5">
        <v>60168</v>
      </c>
      <c r="N26" s="5">
        <v>5817</v>
      </c>
      <c r="O26" s="5">
        <v>12018</v>
      </c>
      <c r="P26" s="5">
        <v>7950</v>
      </c>
      <c r="Q26" s="5">
        <v>5406</v>
      </c>
      <c r="R26" s="5">
        <v>4587</v>
      </c>
      <c r="S26" s="5">
        <v>7902</v>
      </c>
      <c r="T26" s="107">
        <v>9264</v>
      </c>
      <c r="U26" s="107">
        <v>4845</v>
      </c>
      <c r="V26" s="107">
        <v>930</v>
      </c>
      <c r="W26" s="107"/>
      <c r="X26" s="5"/>
      <c r="Y26" s="5">
        <f t="shared" si="0"/>
        <v>1489789</v>
      </c>
      <c r="AA26" s="1">
        <v>22</v>
      </c>
      <c r="AB26" s="1" t="s">
        <v>74</v>
      </c>
      <c r="AC26" s="1">
        <v>14</v>
      </c>
      <c r="AD26" s="5">
        <f t="shared" si="7"/>
        <v>2086.3605689277906</v>
      </c>
      <c r="AE26" s="1">
        <v>21</v>
      </c>
      <c r="AF26" s="5">
        <f t="shared" si="8"/>
        <v>185.5547090674701</v>
      </c>
      <c r="AG26" s="1">
        <v>6</v>
      </c>
      <c r="AH26" s="5">
        <f t="shared" si="9"/>
        <v>15381.472981132076</v>
      </c>
      <c r="AJ26" s="5">
        <f t="shared" si="10"/>
        <v>0</v>
      </c>
      <c r="AL26" s="5">
        <f t="shared" si="11"/>
        <v>0</v>
      </c>
      <c r="AO26" s="50">
        <f>H58</f>
        <v>18615.433131801692</v>
      </c>
      <c r="AP26" s="5">
        <f t="shared" ref="AP26:AP31" si="13">AD26+AF26+AH26+AJ26+AL26+AO26</f>
        <v>36268.821390929028</v>
      </c>
      <c r="AQ26" s="2" t="s">
        <v>143</v>
      </c>
    </row>
    <row r="27" spans="1:46" x14ac:dyDescent="0.2">
      <c r="A27" s="1">
        <v>24</v>
      </c>
      <c r="B27" s="1" t="s">
        <v>191</v>
      </c>
      <c r="C27" s="5">
        <v>2.13</v>
      </c>
      <c r="D27" s="5">
        <v>0.74</v>
      </c>
      <c r="E27" s="5">
        <v>1.37</v>
      </c>
      <c r="F27" s="5">
        <v>2.13</v>
      </c>
      <c r="G27" s="5">
        <v>2.21</v>
      </c>
      <c r="H27" s="5">
        <v>80</v>
      </c>
      <c r="I27" s="5"/>
      <c r="J27" s="5"/>
      <c r="K27" s="5"/>
      <c r="L27" s="5"/>
      <c r="M27" s="5">
        <v>5.78</v>
      </c>
      <c r="N27" s="5">
        <v>0.56000000000000005</v>
      </c>
      <c r="O27" s="5">
        <v>1.1499999999999999</v>
      </c>
      <c r="P27" s="5">
        <v>0.76</v>
      </c>
      <c r="Q27" s="5">
        <v>0.52</v>
      </c>
      <c r="R27" s="5">
        <v>0.44</v>
      </c>
      <c r="S27" s="5">
        <v>0.76</v>
      </c>
      <c r="T27" s="107">
        <v>0.89</v>
      </c>
      <c r="U27" s="107">
        <v>0.47</v>
      </c>
      <c r="V27" s="107">
        <v>0.09</v>
      </c>
      <c r="W27" s="107"/>
      <c r="X27" s="5"/>
      <c r="Y27" s="5">
        <f t="shared" si="0"/>
        <v>100.00000000000001</v>
      </c>
      <c r="AA27" s="1">
        <v>23</v>
      </c>
      <c r="AB27" s="1" t="s">
        <v>75</v>
      </c>
      <c r="AD27" s="5">
        <f t="shared" si="7"/>
        <v>0</v>
      </c>
      <c r="AF27" s="5">
        <f t="shared" si="8"/>
        <v>0</v>
      </c>
      <c r="AG27" s="1">
        <v>6</v>
      </c>
      <c r="AH27" s="5">
        <f t="shared" si="9"/>
        <v>15381.472981132076</v>
      </c>
      <c r="AJ27" s="5">
        <f t="shared" si="10"/>
        <v>0</v>
      </c>
      <c r="AL27" s="5">
        <f t="shared" si="11"/>
        <v>0</v>
      </c>
      <c r="AO27" s="50">
        <f>AS15</f>
        <v>111493.15894158582</v>
      </c>
      <c r="AP27" s="5">
        <f t="shared" si="13"/>
        <v>126874.63192271789</v>
      </c>
      <c r="AQ27" s="2"/>
      <c r="AR27" s="1" t="s">
        <v>192</v>
      </c>
    </row>
    <row r="28" spans="1:46" x14ac:dyDescent="0.2">
      <c r="A28" s="1">
        <v>25</v>
      </c>
      <c r="B28" s="1" t="s">
        <v>193</v>
      </c>
      <c r="C28" s="5"/>
      <c r="D28" s="5"/>
      <c r="E28" s="5"/>
      <c r="F28" s="5"/>
      <c r="G28" s="5"/>
      <c r="H28" s="5">
        <v>0</v>
      </c>
      <c r="I28" s="5"/>
      <c r="J28" s="5"/>
      <c r="K28" s="5"/>
      <c r="L28" s="5"/>
      <c r="M28" s="5">
        <v>7521</v>
      </c>
      <c r="N28" s="5"/>
      <c r="O28" s="5"/>
      <c r="P28" s="5"/>
      <c r="Q28" s="5"/>
      <c r="R28" s="5"/>
      <c r="S28" s="5"/>
      <c r="T28" s="107"/>
      <c r="U28" s="107"/>
      <c r="V28" s="107"/>
      <c r="W28" s="107"/>
      <c r="X28" s="5"/>
      <c r="Y28" s="5">
        <f t="shared" si="0"/>
        <v>7521</v>
      </c>
      <c r="AA28" s="1">
        <v>24</v>
      </c>
      <c r="AB28" s="1" t="s">
        <v>76</v>
      </c>
      <c r="AC28" s="1">
        <v>8</v>
      </c>
      <c r="AD28" s="5">
        <f t="shared" si="7"/>
        <v>1192.2060393873089</v>
      </c>
      <c r="AF28" s="5">
        <f t="shared" si="8"/>
        <v>0</v>
      </c>
      <c r="AH28" s="5">
        <f t="shared" si="9"/>
        <v>0</v>
      </c>
      <c r="AJ28" s="5">
        <f t="shared" si="10"/>
        <v>0</v>
      </c>
      <c r="AL28" s="5">
        <f t="shared" si="11"/>
        <v>0</v>
      </c>
      <c r="AO28" s="50">
        <f>AS21</f>
        <v>184418.55199999997</v>
      </c>
      <c r="AP28" s="5">
        <f t="shared" si="13"/>
        <v>185610.75803938726</v>
      </c>
      <c r="AQ28" s="2" t="s">
        <v>133</v>
      </c>
      <c r="AR28" s="1" t="s">
        <v>194</v>
      </c>
      <c r="AS28" s="50"/>
    </row>
    <row r="29" spans="1:46" x14ac:dyDescent="0.2">
      <c r="A29" s="1">
        <v>26</v>
      </c>
      <c r="B29" s="1" t="s">
        <v>195</v>
      </c>
      <c r="C29" s="5"/>
      <c r="D29" s="5"/>
      <c r="E29" s="5"/>
      <c r="F29" s="5"/>
      <c r="G29" s="5"/>
      <c r="H29" s="5">
        <v>9730</v>
      </c>
      <c r="I29" s="5"/>
      <c r="J29" s="5"/>
      <c r="K29" s="5"/>
      <c r="L29" s="5"/>
      <c r="M29" s="5">
        <v>7521</v>
      </c>
      <c r="N29" s="5"/>
      <c r="O29" s="5"/>
      <c r="P29" s="5"/>
      <c r="Q29" s="5"/>
      <c r="R29" s="5"/>
      <c r="S29" s="5"/>
      <c r="T29" s="107"/>
      <c r="U29" s="107"/>
      <c r="V29" s="107"/>
      <c r="W29" s="107"/>
      <c r="X29" s="5"/>
      <c r="Y29" s="5">
        <f t="shared" si="0"/>
        <v>17251</v>
      </c>
      <c r="AA29" s="1">
        <v>25</v>
      </c>
      <c r="AB29" s="4" t="s">
        <v>77</v>
      </c>
      <c r="AD29" s="5">
        <f t="shared" si="7"/>
        <v>0</v>
      </c>
      <c r="AF29" s="5">
        <f t="shared" si="8"/>
        <v>0</v>
      </c>
      <c r="AH29" s="5">
        <f t="shared" si="9"/>
        <v>0</v>
      </c>
      <c r="AJ29" s="5">
        <f t="shared" si="10"/>
        <v>0</v>
      </c>
      <c r="AL29" s="5">
        <f t="shared" si="11"/>
        <v>0</v>
      </c>
      <c r="AO29" s="50">
        <f>H72</f>
        <v>2226.1337999999996</v>
      </c>
      <c r="AP29" s="5">
        <f t="shared" si="13"/>
        <v>2226.1337999999996</v>
      </c>
      <c r="AQ29" s="2" t="s">
        <v>196</v>
      </c>
      <c r="AS29" s="50"/>
    </row>
    <row r="30" spans="1:46" x14ac:dyDescent="0.2">
      <c r="A30" s="1">
        <v>28</v>
      </c>
      <c r="B30" s="1" t="s">
        <v>82</v>
      </c>
      <c r="C30" s="5"/>
      <c r="D30" s="5"/>
      <c r="E30" s="5"/>
      <c r="F30" s="5"/>
      <c r="G30" s="5"/>
      <c r="H30" s="5">
        <v>16213</v>
      </c>
      <c r="I30" s="5"/>
      <c r="J30" s="5"/>
      <c r="K30" s="5"/>
      <c r="L30" s="5"/>
      <c r="M30" s="5">
        <v>2482</v>
      </c>
      <c r="N30" s="5"/>
      <c r="O30" s="5"/>
      <c r="P30" s="5"/>
      <c r="Q30" s="5"/>
      <c r="R30" s="5"/>
      <c r="S30" s="5"/>
      <c r="T30" s="107"/>
      <c r="U30" s="107"/>
      <c r="V30" s="107"/>
      <c r="W30" s="107"/>
      <c r="X30" s="5"/>
      <c r="Y30" s="5">
        <f t="shared" si="0"/>
        <v>18695</v>
      </c>
      <c r="AA30" s="1">
        <v>26</v>
      </c>
      <c r="AB30" s="1" t="s">
        <v>78</v>
      </c>
      <c r="AD30" s="5">
        <f t="shared" si="7"/>
        <v>0</v>
      </c>
      <c r="AF30" s="5">
        <f t="shared" si="8"/>
        <v>0</v>
      </c>
      <c r="AH30" s="5">
        <f t="shared" si="9"/>
        <v>0</v>
      </c>
      <c r="AJ30" s="5">
        <f t="shared" si="10"/>
        <v>0</v>
      </c>
      <c r="AL30" s="5">
        <f t="shared" si="11"/>
        <v>0</v>
      </c>
      <c r="AO30" s="50">
        <f>H76</f>
        <v>88635.421656221122</v>
      </c>
      <c r="AP30" s="5">
        <f t="shared" si="13"/>
        <v>88635.421656221122</v>
      </c>
      <c r="AQ30" s="2" t="s">
        <v>197</v>
      </c>
      <c r="AS30" s="50"/>
    </row>
    <row r="31" spans="1:46" ht="13.5" thickBot="1" x14ac:dyDescent="0.25">
      <c r="A31" s="1">
        <v>29</v>
      </c>
      <c r="B31" s="1" t="s">
        <v>198</v>
      </c>
      <c r="C31" s="5"/>
      <c r="D31" s="5"/>
      <c r="E31" s="5"/>
      <c r="F31" s="5"/>
      <c r="G31" s="5"/>
      <c r="H31" s="5">
        <v>0</v>
      </c>
      <c r="I31" s="5"/>
      <c r="J31" s="5"/>
      <c r="K31" s="5"/>
      <c r="L31" s="5"/>
      <c r="M31" s="5"/>
      <c r="N31" s="5">
        <v>26817</v>
      </c>
      <c r="O31" s="5">
        <v>50025</v>
      </c>
      <c r="P31" s="5">
        <v>34831</v>
      </c>
      <c r="Q31" s="5">
        <v>16419</v>
      </c>
      <c r="R31" s="5">
        <v>15574</v>
      </c>
      <c r="S31" s="5">
        <v>32906</v>
      </c>
      <c r="T31" s="107">
        <v>69260</v>
      </c>
      <c r="U31" s="107"/>
      <c r="V31" s="107">
        <v>0</v>
      </c>
      <c r="W31" s="107"/>
      <c r="X31" s="5"/>
      <c r="Y31" s="5">
        <f t="shared" si="0"/>
        <v>245832</v>
      </c>
      <c r="AA31" s="1">
        <v>272</v>
      </c>
      <c r="AB31" s="1" t="s">
        <v>79</v>
      </c>
      <c r="AD31" s="5">
        <f t="shared" si="7"/>
        <v>0</v>
      </c>
      <c r="AE31" s="1">
        <v>3377</v>
      </c>
      <c r="AF31" s="5">
        <f t="shared" si="8"/>
        <v>29838.964405754596</v>
      </c>
      <c r="AH31" s="5">
        <f t="shared" si="9"/>
        <v>0</v>
      </c>
      <c r="AJ31" s="5">
        <f t="shared" si="10"/>
        <v>0</v>
      </c>
      <c r="AL31" s="5">
        <f t="shared" si="11"/>
        <v>0</v>
      </c>
      <c r="AO31" s="50"/>
      <c r="AP31" s="5">
        <f t="shared" si="13"/>
        <v>29838.964405754596</v>
      </c>
      <c r="AS31" s="50"/>
    </row>
    <row r="32" spans="1:46" x14ac:dyDescent="0.2">
      <c r="A32" s="1">
        <v>30</v>
      </c>
      <c r="B32" s="1" t="s">
        <v>199</v>
      </c>
      <c r="C32" s="5"/>
      <c r="D32" s="5"/>
      <c r="E32" s="5"/>
      <c r="F32" s="5"/>
      <c r="G32" s="5"/>
      <c r="H32" s="5">
        <v>0</v>
      </c>
      <c r="I32" s="5"/>
      <c r="J32" s="5"/>
      <c r="K32" s="5"/>
      <c r="L32" s="5"/>
      <c r="M32" s="5"/>
      <c r="N32" s="5">
        <v>1939</v>
      </c>
      <c r="O32" s="5">
        <v>4006</v>
      </c>
      <c r="P32" s="5">
        <v>2650</v>
      </c>
      <c r="Q32" s="5"/>
      <c r="R32" s="5"/>
      <c r="S32" s="5"/>
      <c r="T32" s="107"/>
      <c r="U32" s="107"/>
      <c r="V32" s="107"/>
      <c r="W32" s="107"/>
      <c r="X32" s="5"/>
      <c r="Y32" s="5">
        <f t="shared" si="0"/>
        <v>8595</v>
      </c>
      <c r="AA32" s="1">
        <v>29</v>
      </c>
      <c r="AB32" s="117" t="s">
        <v>80</v>
      </c>
      <c r="AC32" s="1">
        <v>2</v>
      </c>
      <c r="AD32" s="5">
        <f t="shared" si="7"/>
        <v>298.05150984682723</v>
      </c>
      <c r="AF32" s="5">
        <f t="shared" si="8"/>
        <v>0</v>
      </c>
      <c r="AG32" s="118">
        <v>17</v>
      </c>
      <c r="AH32" s="119">
        <f t="shared" si="9"/>
        <v>43580.840113207545</v>
      </c>
      <c r="AI32" s="1">
        <v>3</v>
      </c>
      <c r="AJ32" s="5">
        <f t="shared" si="10"/>
        <v>297.73692307692306</v>
      </c>
      <c r="AL32" s="5">
        <f t="shared" si="11"/>
        <v>0</v>
      </c>
      <c r="AO32" s="50"/>
      <c r="AP32" s="5">
        <f>AD32+AF32+AH32+AJ32+AL32+AO32</f>
        <v>44176.628546131295</v>
      </c>
      <c r="AS32" s="50"/>
    </row>
    <row r="33" spans="1:45" ht="13.5" thickBot="1" x14ac:dyDescent="0.25">
      <c r="A33" s="1">
        <v>31</v>
      </c>
      <c r="B33" s="1" t="s">
        <v>200</v>
      </c>
      <c r="C33" s="5"/>
      <c r="D33" s="5"/>
      <c r="E33" s="5"/>
      <c r="F33" s="5"/>
      <c r="G33" s="5"/>
      <c r="H33" s="5">
        <v>0</v>
      </c>
      <c r="I33" s="5"/>
      <c r="J33" s="5"/>
      <c r="K33" s="5"/>
      <c r="L33" s="5"/>
      <c r="M33" s="5"/>
      <c r="N33" s="5"/>
      <c r="O33" s="5"/>
      <c r="P33" s="5"/>
      <c r="Q33" s="5">
        <v>1802</v>
      </c>
      <c r="R33" s="5">
        <v>1529</v>
      </c>
      <c r="S33" s="5">
        <v>2634</v>
      </c>
      <c r="T33" s="107"/>
      <c r="U33" s="107"/>
      <c r="V33" s="107"/>
      <c r="W33" s="107"/>
      <c r="X33" s="5"/>
      <c r="Y33" s="5">
        <f t="shared" si="0"/>
        <v>5965</v>
      </c>
      <c r="AA33" s="1">
        <v>30</v>
      </c>
      <c r="AB33" s="120" t="s">
        <v>81</v>
      </c>
      <c r="AC33" s="1">
        <v>3.5</v>
      </c>
      <c r="AD33" s="5">
        <f t="shared" si="7"/>
        <v>521.59014223194765</v>
      </c>
      <c r="AF33" s="5">
        <f t="shared" si="8"/>
        <v>0</v>
      </c>
      <c r="AG33" s="121">
        <v>9</v>
      </c>
      <c r="AH33" s="122">
        <f t="shared" si="9"/>
        <v>23072.209471698116</v>
      </c>
      <c r="AI33" s="1">
        <v>3</v>
      </c>
      <c r="AJ33" s="5">
        <f t="shared" si="10"/>
        <v>297.73692307692306</v>
      </c>
      <c r="AL33" s="5">
        <f t="shared" si="11"/>
        <v>0</v>
      </c>
      <c r="AO33" s="50"/>
      <c r="AP33" s="5">
        <f>AD33+AF33+AH33+AJ33+AL33+AO33</f>
        <v>23891.536537006985</v>
      </c>
      <c r="AS33" s="50"/>
    </row>
    <row r="34" spans="1:45" x14ac:dyDescent="0.2">
      <c r="A34" s="1">
        <v>32</v>
      </c>
      <c r="B34" s="1" t="s">
        <v>201</v>
      </c>
      <c r="C34" s="5"/>
      <c r="D34" s="5"/>
      <c r="E34" s="5"/>
      <c r="F34" s="5"/>
      <c r="G34" s="5"/>
      <c r="H34" s="5"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107">
        <v>3088</v>
      </c>
      <c r="U34" s="107">
        <v>1615</v>
      </c>
      <c r="V34" s="107">
        <v>310</v>
      </c>
      <c r="W34" s="107"/>
      <c r="X34" s="5"/>
      <c r="Y34" s="5">
        <f t="shared" si="0"/>
        <v>5013</v>
      </c>
      <c r="AA34" s="1">
        <v>31</v>
      </c>
      <c r="AB34" s="1" t="s">
        <v>82</v>
      </c>
      <c r="AC34" s="1">
        <v>1</v>
      </c>
      <c r="AD34" s="5">
        <f t="shared" si="7"/>
        <v>149.02575492341361</v>
      </c>
      <c r="AF34" s="5">
        <f t="shared" si="8"/>
        <v>0</v>
      </c>
      <c r="AG34" s="1">
        <v>2</v>
      </c>
      <c r="AH34" s="5">
        <f t="shared" si="9"/>
        <v>5127.1576603773583</v>
      </c>
      <c r="AJ34" s="5">
        <f t="shared" si="10"/>
        <v>0</v>
      </c>
      <c r="AL34" s="5">
        <f t="shared" si="11"/>
        <v>0</v>
      </c>
      <c r="AO34" s="50">
        <f>H81</f>
        <v>125228.48352072747</v>
      </c>
      <c r="AP34" s="5">
        <f>AD34+AF34+AH34+AJ34+AL34+AO34</f>
        <v>130504.66693602824</v>
      </c>
      <c r="AQ34" s="2" t="s">
        <v>202</v>
      </c>
      <c r="AS34" s="50"/>
    </row>
    <row r="35" spans="1:45" x14ac:dyDescent="0.2">
      <c r="A35" s="1">
        <v>33</v>
      </c>
      <c r="B35" s="1" t="s">
        <v>203</v>
      </c>
      <c r="C35" s="5"/>
      <c r="D35" s="5"/>
      <c r="E35" s="5"/>
      <c r="F35" s="5"/>
      <c r="G35" s="5"/>
      <c r="H35" s="5">
        <v>0</v>
      </c>
      <c r="I35" s="5"/>
      <c r="J35" s="5"/>
      <c r="K35" s="5"/>
      <c r="L35" s="5"/>
      <c r="M35" s="5"/>
      <c r="N35" s="5">
        <v>1939</v>
      </c>
      <c r="O35" s="5">
        <v>4006</v>
      </c>
      <c r="P35" s="5">
        <v>2650</v>
      </c>
      <c r="Q35" s="5"/>
      <c r="R35" s="5"/>
      <c r="S35" s="5"/>
      <c r="T35" s="107"/>
      <c r="U35" s="107"/>
      <c r="V35" s="107"/>
      <c r="W35" s="107"/>
      <c r="X35" s="5"/>
      <c r="Y35" s="5">
        <f t="shared" si="0"/>
        <v>8595</v>
      </c>
      <c r="AA35" s="1">
        <v>32</v>
      </c>
      <c r="AB35" s="1" t="s">
        <v>83</v>
      </c>
      <c r="AC35" s="1">
        <v>1</v>
      </c>
      <c r="AD35" s="5">
        <f t="shared" si="7"/>
        <v>149.02575492341361</v>
      </c>
      <c r="AF35" s="5">
        <f t="shared" si="8"/>
        <v>0</v>
      </c>
      <c r="AH35" s="5">
        <f t="shared" si="9"/>
        <v>0</v>
      </c>
      <c r="AJ35" s="5">
        <f t="shared" si="10"/>
        <v>0</v>
      </c>
      <c r="AL35" s="5">
        <f t="shared" si="11"/>
        <v>0</v>
      </c>
      <c r="AM35" s="14">
        <v>1</v>
      </c>
      <c r="AN35" s="15">
        <f>AN3*AM35/AM47</f>
        <v>0</v>
      </c>
      <c r="AO35" s="50"/>
      <c r="AP35" s="5">
        <f>AD35+AF35+AH35+AJ35+AL35+AN35+AO35</f>
        <v>149.02575492341361</v>
      </c>
      <c r="AS35" s="50"/>
    </row>
    <row r="36" spans="1:45" x14ac:dyDescent="0.2">
      <c r="A36" s="1">
        <v>36</v>
      </c>
      <c r="B36" s="1" t="s">
        <v>204</v>
      </c>
      <c r="C36" s="5">
        <v>16</v>
      </c>
      <c r="D36" s="5"/>
      <c r="E36" s="5"/>
      <c r="F36" s="5"/>
      <c r="G36" s="5"/>
      <c r="H36" s="5">
        <v>0</v>
      </c>
      <c r="I36" s="5"/>
      <c r="J36" s="5"/>
      <c r="K36" s="5"/>
      <c r="L36" s="5"/>
      <c r="M36" s="5"/>
      <c r="N36" s="5">
        <v>34</v>
      </c>
      <c r="O36" s="5">
        <v>20</v>
      </c>
      <c r="P36" s="5">
        <v>14</v>
      </c>
      <c r="Q36" s="5">
        <v>15</v>
      </c>
      <c r="R36" s="5">
        <v>16</v>
      </c>
      <c r="S36" s="5">
        <v>22</v>
      </c>
      <c r="T36" s="107"/>
      <c r="U36" s="107"/>
      <c r="V36" s="107"/>
      <c r="W36" s="107"/>
      <c r="X36" s="5"/>
      <c r="Y36" s="5">
        <f t="shared" si="0"/>
        <v>137</v>
      </c>
      <c r="AA36" s="1">
        <v>330</v>
      </c>
      <c r="AB36" s="1" t="s">
        <v>84</v>
      </c>
      <c r="AM36" s="14">
        <v>3</v>
      </c>
      <c r="AN36" s="15">
        <f>AN3*AM36/AM47</f>
        <v>0</v>
      </c>
      <c r="AO36" s="50"/>
      <c r="AP36" s="5">
        <f>AD36+AF36+AH36+AJ36+AL36+AN36+AO36</f>
        <v>0</v>
      </c>
      <c r="AS36" s="50"/>
    </row>
    <row r="37" spans="1:45" x14ac:dyDescent="0.2">
      <c r="A37" s="1">
        <v>37</v>
      </c>
      <c r="B37" s="1" t="s">
        <v>205</v>
      </c>
      <c r="C37" s="5"/>
      <c r="D37" s="5"/>
      <c r="E37" s="5"/>
      <c r="F37" s="5"/>
      <c r="G37" s="5"/>
      <c r="H37" s="5">
        <v>0</v>
      </c>
      <c r="I37" s="5"/>
      <c r="J37" s="5"/>
      <c r="K37" s="5"/>
      <c r="L37" s="5"/>
      <c r="M37" s="5"/>
      <c r="N37" s="5">
        <v>1939</v>
      </c>
      <c r="O37" s="5">
        <v>4006</v>
      </c>
      <c r="P37" s="5">
        <v>2650</v>
      </c>
      <c r="Q37" s="5">
        <v>1802</v>
      </c>
      <c r="R37" s="5">
        <v>1529</v>
      </c>
      <c r="S37" s="5">
        <v>2634</v>
      </c>
      <c r="T37" s="107">
        <v>3088</v>
      </c>
      <c r="U37" s="107">
        <v>1615</v>
      </c>
      <c r="V37" s="107">
        <v>310</v>
      </c>
      <c r="W37" s="107"/>
      <c r="X37" s="5"/>
      <c r="Y37" s="5">
        <f t="shared" si="0"/>
        <v>19573</v>
      </c>
      <c r="AA37" s="1">
        <v>34</v>
      </c>
      <c r="AB37" s="1" t="s">
        <v>85</v>
      </c>
      <c r="AC37" s="1">
        <v>2</v>
      </c>
      <c r="AD37" s="5">
        <f>$AD$3*AC37/$AC$47</f>
        <v>298.05150984682723</v>
      </c>
      <c r="AE37" s="1">
        <v>12</v>
      </c>
      <c r="AF37" s="5">
        <f>($AF$4+$AF$3)*AE37/$AE$47</f>
        <v>106.03126232426862</v>
      </c>
      <c r="AG37" s="1">
        <v>4</v>
      </c>
      <c r="AH37" s="5">
        <f>$AH$3*AG37/$AG$47</f>
        <v>10254.315320754717</v>
      </c>
      <c r="AI37" s="1">
        <v>4</v>
      </c>
      <c r="AJ37" s="5">
        <f>$AJ$3*AI37/$AI$47</f>
        <v>396.98256410256408</v>
      </c>
      <c r="AL37" s="5">
        <f>$AL$3*AK37/$AK$47</f>
        <v>0</v>
      </c>
      <c r="AM37" s="14">
        <v>1</v>
      </c>
      <c r="AN37" s="15">
        <f>AN3*AM37/AM47</f>
        <v>0</v>
      </c>
      <c r="AO37" s="50"/>
      <c r="AP37" s="5">
        <f>AD37+AF37+AH37+AJ37+AL37+AN37+AO37</f>
        <v>11055.380657028376</v>
      </c>
      <c r="AS37" s="50"/>
    </row>
    <row r="38" spans="1:45" x14ac:dyDescent="0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107"/>
      <c r="U38" s="107"/>
      <c r="V38" s="107"/>
      <c r="W38" s="107"/>
      <c r="X38" s="5"/>
      <c r="Y38" s="5"/>
      <c r="AA38" s="1">
        <v>35</v>
      </c>
      <c r="AB38" s="1" t="s">
        <v>86</v>
      </c>
      <c r="AC38" s="1">
        <v>1</v>
      </c>
      <c r="AD38" s="5">
        <f>$AD$3*AC38/$AC$47</f>
        <v>149.02575492341361</v>
      </c>
      <c r="AF38" s="5">
        <f>($AF$4+$AF$3)*AE38/$AE$47</f>
        <v>0</v>
      </c>
      <c r="AG38" s="1">
        <v>2</v>
      </c>
      <c r="AH38" s="5">
        <f>$AH$3*AG38/$AG$47</f>
        <v>5127.1576603773583</v>
      </c>
      <c r="AJ38" s="5">
        <f>$AJ$3*AI38/$AI$47</f>
        <v>0</v>
      </c>
      <c r="AL38" s="5">
        <f>$AL$3*AK38/$AK$47</f>
        <v>0</v>
      </c>
      <c r="AO38" s="50"/>
      <c r="AP38" s="5">
        <f>AD38+AF38+AH38+AJ38+AL38+AO38</f>
        <v>5276.1834153007721</v>
      </c>
      <c r="AS38" s="50"/>
    </row>
    <row r="39" spans="1:45" x14ac:dyDescent="0.2">
      <c r="A39" s="1">
        <v>38</v>
      </c>
      <c r="B39" s="1" t="s">
        <v>206</v>
      </c>
      <c r="C39" s="5"/>
      <c r="D39" s="5"/>
      <c r="E39" s="5"/>
      <c r="F39" s="5"/>
      <c r="G39" s="5">
        <v>0</v>
      </c>
      <c r="H39" s="5">
        <v>0</v>
      </c>
      <c r="I39" s="5"/>
      <c r="J39" s="5"/>
      <c r="K39" s="5"/>
      <c r="L39" s="5"/>
      <c r="M39" s="5"/>
      <c r="N39" s="5"/>
      <c r="O39" s="5"/>
      <c r="P39" s="5"/>
      <c r="Q39" s="5">
        <v>1802</v>
      </c>
      <c r="R39" s="5">
        <v>1529</v>
      </c>
      <c r="S39" s="5">
        <v>2634</v>
      </c>
      <c r="T39" s="107"/>
      <c r="U39" s="107"/>
      <c r="V39" s="107"/>
      <c r="W39" s="107"/>
      <c r="X39" s="5"/>
      <c r="Y39" s="5">
        <f>SUM(C39:X39)</f>
        <v>5965</v>
      </c>
      <c r="AA39" s="1">
        <v>36</v>
      </c>
      <c r="AB39" s="1" t="s">
        <v>87</v>
      </c>
      <c r="AC39" s="1">
        <v>10</v>
      </c>
      <c r="AD39" s="5">
        <f>$AD$3*AC39/$AC$47</f>
        <v>1490.2575492341361</v>
      </c>
      <c r="AE39" s="1">
        <v>19</v>
      </c>
      <c r="AF39" s="5">
        <f>($AF$4+$AF$3)*AE39/$AE$47</f>
        <v>167.88283201342531</v>
      </c>
      <c r="AH39" s="5">
        <f>$AH$3*AG39/$AG$47</f>
        <v>0</v>
      </c>
      <c r="AJ39" s="5">
        <f>$AJ$3*AI39/$AI$47</f>
        <v>0</v>
      </c>
      <c r="AL39" s="5">
        <f>$AL$3*AK39/$AK$47</f>
        <v>0</v>
      </c>
      <c r="AM39" s="14">
        <v>1</v>
      </c>
      <c r="AN39" s="15">
        <f>AN3*AM39/AM47</f>
        <v>0</v>
      </c>
      <c r="AO39" s="50"/>
      <c r="AP39" s="5">
        <f>AD39+AF39+AH39+AJ39+AL39+AN39+AO39</f>
        <v>1658.1403812475614</v>
      </c>
      <c r="AS39" s="50"/>
    </row>
    <row r="40" spans="1:45" x14ac:dyDescent="0.2">
      <c r="A40" s="1">
        <v>39</v>
      </c>
      <c r="B40" s="4" t="s">
        <v>207</v>
      </c>
      <c r="C40" s="5"/>
      <c r="D40" s="5"/>
      <c r="E40" s="5"/>
      <c r="F40" s="5"/>
      <c r="G40" s="5"/>
      <c r="H40" s="5">
        <v>33.33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107"/>
      <c r="U40" s="107"/>
      <c r="V40" s="107">
        <v>66.67</v>
      </c>
      <c r="W40" s="107">
        <v>0</v>
      </c>
      <c r="X40" s="5"/>
      <c r="Y40" s="5">
        <f>SUM(C40:X40)</f>
        <v>100</v>
      </c>
      <c r="AA40" s="1">
        <v>37</v>
      </c>
      <c r="AB40" s="4" t="s">
        <v>88</v>
      </c>
      <c r="AD40" s="5">
        <f>$AD$3*AC40/$AC$47</f>
        <v>0</v>
      </c>
      <c r="AE40" s="1">
        <v>84</v>
      </c>
      <c r="AF40" s="5">
        <f>($AF$4+$AF$3)*AE40/$AE$47</f>
        <v>742.2188362698804</v>
      </c>
      <c r="AH40" s="5">
        <f>$AH$3*AG40/$AG$47</f>
        <v>0</v>
      </c>
      <c r="AJ40" s="5">
        <f>$AJ$3*AI40/$AI$47</f>
        <v>0</v>
      </c>
      <c r="AL40" s="5">
        <f>$AL$3*AK40/$AK$47</f>
        <v>0</v>
      </c>
      <c r="AO40" s="50"/>
      <c r="AP40" s="5">
        <f>AD40+AF40+AH40+AJ40+AL40+AO40</f>
        <v>742.2188362698804</v>
      </c>
      <c r="AS40" s="50"/>
    </row>
    <row r="41" spans="1:45" x14ac:dyDescent="0.2">
      <c r="A41" s="1">
        <v>40</v>
      </c>
      <c r="B41" s="1" t="s">
        <v>208</v>
      </c>
      <c r="C41" s="5"/>
      <c r="D41" s="5"/>
      <c r="E41" s="5"/>
      <c r="F41" s="5"/>
      <c r="G41" s="5"/>
      <c r="H41" s="107">
        <f>AK47</f>
        <v>30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107"/>
      <c r="U41" s="107"/>
      <c r="V41" s="107"/>
      <c r="W41" s="107"/>
      <c r="X41" s="5"/>
      <c r="Y41" s="5">
        <f>SUM(C41:X41)</f>
        <v>30</v>
      </c>
      <c r="AA41" s="1">
        <v>40</v>
      </c>
      <c r="AB41" s="1" t="s">
        <v>89</v>
      </c>
      <c r="AM41" s="14">
        <v>106</v>
      </c>
      <c r="AN41" s="15">
        <f>AN3*AM41/AM47</f>
        <v>0</v>
      </c>
      <c r="AO41" s="50"/>
      <c r="AP41" s="5">
        <f>AD41+AF41+AH41+AJ41+AL41+AN41+AO41</f>
        <v>0</v>
      </c>
      <c r="AS41" s="50"/>
    </row>
    <row r="42" spans="1:45" x14ac:dyDescent="0.2">
      <c r="A42" s="1">
        <v>41</v>
      </c>
      <c r="B42" s="1" t="s">
        <v>209</v>
      </c>
      <c r="C42" s="5"/>
      <c r="D42" s="5"/>
      <c r="E42" s="5"/>
      <c r="F42" s="5"/>
      <c r="G42" s="5"/>
      <c r="H42" s="5">
        <v>7200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107"/>
      <c r="U42" s="107"/>
      <c r="V42" s="107"/>
      <c r="W42" s="107"/>
      <c r="X42" s="5"/>
      <c r="Y42" s="5">
        <f>SUM(C42:X42)</f>
        <v>7200</v>
      </c>
      <c r="AB42" s="1" t="s">
        <v>52</v>
      </c>
      <c r="AC42" s="1">
        <v>21</v>
      </c>
      <c r="AD42" s="5">
        <f>$AD$3*AC42/$AC$47</f>
        <v>3129.5408533916861</v>
      </c>
      <c r="AF42" s="5">
        <f>($AF$4+$AF$3)*AE42/$AE$47</f>
        <v>0</v>
      </c>
      <c r="AH42" s="5">
        <f>$AH$3*AG42/$AG$47</f>
        <v>0</v>
      </c>
      <c r="AJ42" s="5">
        <f>$AJ$3*AI42/$AI$47</f>
        <v>0</v>
      </c>
      <c r="AL42" s="5">
        <f>$AL$3*AK42/$AK$47</f>
        <v>0</v>
      </c>
      <c r="AO42" s="50"/>
      <c r="AP42" s="5">
        <f>AD42+AF42+AH42+AJ42+AL42+AO42</f>
        <v>3129.5408533916861</v>
      </c>
      <c r="AS42" s="50"/>
    </row>
    <row r="43" spans="1:45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107"/>
      <c r="U43" s="107"/>
      <c r="V43" s="107"/>
      <c r="W43" s="107"/>
      <c r="X43" s="5"/>
      <c r="Y43" s="5"/>
      <c r="AF43" s="5">
        <f>-AD42</f>
        <v>-3129.5408533916861</v>
      </c>
      <c r="AO43" s="50"/>
      <c r="AP43" s="5">
        <f>AD43+AF43+AH43+AJ43+AL43+AO43</f>
        <v>-3129.5408533916861</v>
      </c>
      <c r="AS43" s="50"/>
    </row>
    <row r="44" spans="1:45" x14ac:dyDescent="0.2">
      <c r="A44" s="1">
        <v>42</v>
      </c>
      <c r="B44" s="1" t="s">
        <v>210</v>
      </c>
      <c r="C44" s="5"/>
      <c r="D44" s="5"/>
      <c r="E44" s="5"/>
      <c r="F44" s="5"/>
      <c r="G44" s="5"/>
      <c r="H44" s="5">
        <v>0</v>
      </c>
      <c r="I44" s="5"/>
      <c r="J44" s="5"/>
      <c r="K44" s="5"/>
      <c r="L44" s="5"/>
      <c r="M44" s="5"/>
      <c r="N44" s="5">
        <v>1939</v>
      </c>
      <c r="O44" s="5">
        <v>4006</v>
      </c>
      <c r="P44" s="5">
        <v>2650</v>
      </c>
      <c r="Q44" s="5">
        <v>1802</v>
      </c>
      <c r="R44" s="5"/>
      <c r="S44" s="5"/>
      <c r="T44" s="107"/>
      <c r="U44" s="107"/>
      <c r="V44" s="107"/>
      <c r="W44" s="107"/>
      <c r="X44" s="5"/>
      <c r="Y44" s="5">
        <f t="shared" ref="Y44:Y49" si="14">SUM(C44:X44)</f>
        <v>10397</v>
      </c>
      <c r="AA44" s="1">
        <v>41</v>
      </c>
      <c r="AB44" s="1" t="s">
        <v>211</v>
      </c>
      <c r="AC44" s="1">
        <v>15</v>
      </c>
      <c r="AD44" s="5">
        <f>$AD$3*AC44/$AC$47</f>
        <v>2235.3863238512045</v>
      </c>
      <c r="AO44" s="50"/>
      <c r="AP44" s="5">
        <f>AO44+AN44+AL44+AJ44+AH44+AF44+AD44</f>
        <v>2235.3863238512045</v>
      </c>
      <c r="AS44" s="50"/>
    </row>
    <row r="45" spans="1:45" ht="13.5" thickBot="1" x14ac:dyDescent="0.25">
      <c r="A45" s="1">
        <v>43</v>
      </c>
      <c r="B45" s="1" t="s">
        <v>212</v>
      </c>
      <c r="C45" s="5"/>
      <c r="D45" s="5"/>
      <c r="E45" s="5"/>
      <c r="F45" s="5"/>
      <c r="G45" s="5"/>
      <c r="H45" s="5"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107">
        <v>3088</v>
      </c>
      <c r="U45" s="107">
        <v>1615</v>
      </c>
      <c r="V45" s="107">
        <v>310</v>
      </c>
      <c r="W45" s="107">
        <v>0</v>
      </c>
      <c r="X45" s="5"/>
      <c r="Y45" s="5">
        <f t="shared" si="14"/>
        <v>5013</v>
      </c>
      <c r="AA45" s="1">
        <v>42</v>
      </c>
      <c r="AB45" s="1" t="s">
        <v>90</v>
      </c>
      <c r="AI45" s="1">
        <v>20</v>
      </c>
      <c r="AJ45" s="5">
        <f>$AJ$3*AI45/$AI$47</f>
        <v>1984.9128205128206</v>
      </c>
      <c r="AO45" s="50"/>
      <c r="AP45" s="5">
        <f>AO45+AN45+AL45+AJ45+AH45+AF45+AD45</f>
        <v>1984.9128205128206</v>
      </c>
      <c r="AS45" s="50"/>
    </row>
    <row r="46" spans="1:45" ht="13.5" thickBot="1" x14ac:dyDescent="0.25">
      <c r="A46" s="1">
        <v>44</v>
      </c>
      <c r="B46" s="1" t="s">
        <v>213</v>
      </c>
      <c r="C46" s="5"/>
      <c r="D46" s="5"/>
      <c r="E46" s="5"/>
      <c r="F46" s="5"/>
      <c r="G46" s="5"/>
      <c r="H46" s="5">
        <v>18253</v>
      </c>
      <c r="I46" s="5"/>
      <c r="J46" s="5"/>
      <c r="K46" s="5"/>
      <c r="L46" s="5"/>
      <c r="M46" s="5"/>
      <c r="N46" s="107"/>
      <c r="O46" s="5">
        <v>2003</v>
      </c>
      <c r="P46" s="5">
        <v>1325</v>
      </c>
      <c r="Q46" s="5">
        <v>901</v>
      </c>
      <c r="R46" s="5">
        <v>765</v>
      </c>
      <c r="S46" s="5">
        <v>1317</v>
      </c>
      <c r="T46" s="107">
        <f>3088</f>
        <v>3088</v>
      </c>
      <c r="U46" s="107">
        <f>1615</f>
        <v>1615</v>
      </c>
      <c r="V46" s="107">
        <f>310</f>
        <v>310</v>
      </c>
      <c r="W46" s="107">
        <v>0</v>
      </c>
      <c r="X46" s="5"/>
      <c r="Y46" s="5">
        <f t="shared" si="14"/>
        <v>29577</v>
      </c>
      <c r="AA46" s="1">
        <v>43</v>
      </c>
      <c r="AB46" s="110" t="s">
        <v>91</v>
      </c>
      <c r="AC46" s="123"/>
      <c r="AG46" s="124">
        <v>58</v>
      </c>
      <c r="AH46" s="125">
        <f>$AH$3*AG46/$AG$47</f>
        <v>148687.57215094339</v>
      </c>
      <c r="AO46" s="50"/>
      <c r="AP46" s="5">
        <f>AO46+AN46+AL46+AJ46+AH46+AF46+AD46</f>
        <v>148687.57215094339</v>
      </c>
      <c r="AS46" s="50"/>
    </row>
    <row r="47" spans="1:45" x14ac:dyDescent="0.2">
      <c r="A47" s="1">
        <v>45</v>
      </c>
      <c r="B47" s="1" t="s">
        <v>214</v>
      </c>
      <c r="C47" s="5">
        <v>7379</v>
      </c>
      <c r="D47" s="5">
        <v>2572</v>
      </c>
      <c r="E47" s="5">
        <v>4747</v>
      </c>
      <c r="F47" s="5"/>
      <c r="G47" s="5"/>
      <c r="H47" s="5"/>
      <c r="I47" s="5"/>
      <c r="J47" s="5"/>
      <c r="K47" s="5"/>
      <c r="L47" s="5"/>
      <c r="M47" s="5"/>
      <c r="N47" s="5">
        <v>1939</v>
      </c>
      <c r="O47" s="5">
        <v>4006</v>
      </c>
      <c r="P47" s="5">
        <v>2650</v>
      </c>
      <c r="Q47" s="5">
        <v>1802</v>
      </c>
      <c r="R47" s="5">
        <v>1529</v>
      </c>
      <c r="S47" s="5">
        <v>2634</v>
      </c>
      <c r="T47" s="107"/>
      <c r="U47" s="107"/>
      <c r="V47" s="107"/>
      <c r="W47" s="107"/>
      <c r="X47" s="5"/>
      <c r="Y47" s="5">
        <f t="shared" si="14"/>
        <v>29258</v>
      </c>
      <c r="AB47" s="1" t="s">
        <v>54</v>
      </c>
      <c r="AC47" s="5">
        <f t="shared" ref="AC47:AP47" si="15">SUM(AC5:AC46)</f>
        <v>327</v>
      </c>
      <c r="AD47" s="5">
        <f t="shared" si="15"/>
        <v>48731.421859956252</v>
      </c>
      <c r="AE47" s="5">
        <f t="shared" si="15"/>
        <v>7038</v>
      </c>
      <c r="AF47" s="5">
        <f t="shared" si="15"/>
        <v>59057.794499791868</v>
      </c>
      <c r="AG47" s="5">
        <f t="shared" si="15"/>
        <v>181</v>
      </c>
      <c r="AH47" s="5">
        <f t="shared" si="15"/>
        <v>464007.76826415095</v>
      </c>
      <c r="AI47" s="5">
        <f t="shared" si="15"/>
        <v>36</v>
      </c>
      <c r="AJ47" s="5">
        <f t="shared" si="15"/>
        <v>3572.8430769230772</v>
      </c>
      <c r="AK47" s="15">
        <f t="shared" si="15"/>
        <v>30</v>
      </c>
      <c r="AL47" s="5">
        <f t="shared" si="15"/>
        <v>4554.38</v>
      </c>
      <c r="AM47" s="15">
        <f t="shared" si="15"/>
        <v>130</v>
      </c>
      <c r="AN47" s="5">
        <f t="shared" si="15"/>
        <v>0</v>
      </c>
      <c r="AO47" s="50">
        <f t="shared" si="15"/>
        <v>812701.03211474849</v>
      </c>
      <c r="AP47" s="5">
        <f t="shared" si="15"/>
        <v>1392625.2398155706</v>
      </c>
      <c r="AS47" s="50"/>
    </row>
    <row r="48" spans="1:45" x14ac:dyDescent="0.2">
      <c r="A48" s="1">
        <v>46</v>
      </c>
      <c r="B48" s="1" t="s">
        <v>215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>
        <v>1939</v>
      </c>
      <c r="O48" s="5">
        <v>4006</v>
      </c>
      <c r="P48" s="5">
        <v>2650</v>
      </c>
      <c r="Q48" s="5">
        <v>1802</v>
      </c>
      <c r="R48" s="5">
        <v>1529</v>
      </c>
      <c r="S48" s="5">
        <v>2634</v>
      </c>
      <c r="T48" s="107">
        <v>3088</v>
      </c>
      <c r="U48" s="107">
        <v>1615</v>
      </c>
      <c r="V48" s="107">
        <v>310</v>
      </c>
      <c r="W48" s="107">
        <v>0</v>
      </c>
      <c r="X48" s="5"/>
      <c r="Y48" s="5">
        <f t="shared" si="14"/>
        <v>19573</v>
      </c>
      <c r="AP48" s="60">
        <f>AD47+AF47+AH47+AJ47+AL47+AN47+AO47</f>
        <v>1392625.2398155706</v>
      </c>
      <c r="AS48" s="50"/>
    </row>
    <row r="49" spans="1:45" ht="13.5" thickBot="1" x14ac:dyDescent="0.25">
      <c r="A49" s="1">
        <v>47</v>
      </c>
      <c r="B49" s="1" t="s">
        <v>216</v>
      </c>
      <c r="C49" s="5"/>
      <c r="D49" s="5"/>
      <c r="E49" s="5"/>
      <c r="F49" s="5"/>
      <c r="G49" s="5"/>
      <c r="H49" s="107">
        <v>130</v>
      </c>
      <c r="I49" s="5"/>
      <c r="J49" s="5">
        <v>1</v>
      </c>
      <c r="K49" s="5">
        <v>1</v>
      </c>
      <c r="L49" s="5">
        <v>1</v>
      </c>
      <c r="M49" s="5">
        <v>1</v>
      </c>
      <c r="N49" s="5"/>
      <c r="O49" s="5"/>
      <c r="P49" s="5"/>
      <c r="Q49" s="5"/>
      <c r="R49" s="5"/>
      <c r="S49" s="5"/>
      <c r="T49" s="107"/>
      <c r="U49" s="107"/>
      <c r="V49" s="107"/>
      <c r="W49" s="107"/>
      <c r="X49" s="5">
        <v>2</v>
      </c>
      <c r="Y49" s="5">
        <f t="shared" si="14"/>
        <v>136</v>
      </c>
      <c r="AS49" s="50"/>
    </row>
    <row r="50" spans="1:45" x14ac:dyDescent="0.2">
      <c r="A50" s="1">
        <v>48</v>
      </c>
      <c r="B50" s="1" t="s">
        <v>217</v>
      </c>
      <c r="C50" s="5">
        <v>180</v>
      </c>
      <c r="D50" s="5">
        <v>65</v>
      </c>
      <c r="E50" s="5">
        <v>100</v>
      </c>
      <c r="F50" s="5">
        <v>143</v>
      </c>
      <c r="G50" s="5">
        <v>171</v>
      </c>
      <c r="H50" s="5"/>
      <c r="I50" s="5"/>
      <c r="J50" s="5"/>
      <c r="K50" s="5"/>
      <c r="L50" s="5"/>
      <c r="M50" s="5">
        <v>208</v>
      </c>
      <c r="N50" s="5">
        <v>105</v>
      </c>
      <c r="O50" s="5">
        <v>72</v>
      </c>
      <c r="P50" s="5">
        <v>56</v>
      </c>
      <c r="Q50" s="5">
        <v>20</v>
      </c>
      <c r="R50" s="5">
        <v>15</v>
      </c>
      <c r="S50" s="5">
        <v>53</v>
      </c>
      <c r="T50" s="107">
        <v>39</v>
      </c>
      <c r="U50" s="107">
        <v>31</v>
      </c>
      <c r="V50" s="107"/>
      <c r="W50" s="107"/>
      <c r="X50" s="5"/>
      <c r="Y50" s="5">
        <f>SUM(C50:X50)</f>
        <v>1258</v>
      </c>
      <c r="AB50" s="259" t="s">
        <v>279</v>
      </c>
      <c r="AC50" s="260">
        <f>H7</f>
        <v>3270</v>
      </c>
      <c r="AD50" s="260"/>
      <c r="AE50" s="260">
        <f>H5</f>
        <v>7038</v>
      </c>
      <c r="AF50" s="260"/>
      <c r="AG50" s="260">
        <f>H8</f>
        <v>181</v>
      </c>
      <c r="AH50" s="260"/>
      <c r="AI50" s="261">
        <f>H10</f>
        <v>36</v>
      </c>
      <c r="AJ50" s="260"/>
      <c r="AK50" s="261">
        <f>H41</f>
        <v>30</v>
      </c>
      <c r="AL50" s="260"/>
      <c r="AM50" s="262">
        <f>H49</f>
        <v>130</v>
      </c>
      <c r="AS50" s="50"/>
    </row>
    <row r="51" spans="1:45" ht="13.5" thickBot="1" x14ac:dyDescent="0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107"/>
      <c r="U51" s="107"/>
      <c r="V51" s="107"/>
      <c r="W51" s="107"/>
      <c r="X51" s="5"/>
      <c r="Y51" s="5"/>
      <c r="AB51" s="263" t="s">
        <v>280</v>
      </c>
      <c r="AC51" s="264">
        <f>SUM(Y59/Y7)</f>
        <v>14.902575492341361</v>
      </c>
      <c r="AD51" s="264"/>
      <c r="AE51" s="264">
        <f>AF47/AE50</f>
        <v>8.3912751491605384</v>
      </c>
      <c r="AF51" s="264"/>
      <c r="AG51" s="264">
        <f>AH47/AG50</f>
        <v>2563.5788301886791</v>
      </c>
      <c r="AH51" s="264"/>
      <c r="AI51" s="264">
        <f>AJ47/AI50</f>
        <v>99.245641025641035</v>
      </c>
      <c r="AJ51" s="264"/>
      <c r="AK51" s="264">
        <f>AL47/AK50</f>
        <v>151.81266666666667</v>
      </c>
      <c r="AL51" s="264"/>
      <c r="AM51" s="265">
        <f>SUM(AN47/AM47)</f>
        <v>0</v>
      </c>
    </row>
    <row r="52" spans="1:45" ht="13.5" thickBot="1" x14ac:dyDescent="0.25">
      <c r="A52" s="4" t="str">
        <f>A1</f>
        <v>Drap de bain TTC 2015 modif Alarme SI+EF+chg Soco+RS+DI+ mise à jour 1 alarme ASL = 10 points et caméras immeubles.</v>
      </c>
      <c r="B52" s="4"/>
      <c r="C52" s="4"/>
      <c r="D52" s="4"/>
      <c r="E52" s="4"/>
      <c r="F52" s="4"/>
      <c r="G52" s="4"/>
      <c r="H52" s="4"/>
      <c r="T52" s="4"/>
      <c r="U52" s="4"/>
      <c r="V52" s="4"/>
      <c r="W52" s="4"/>
    </row>
    <row r="53" spans="1:45" ht="13.5" thickBot="1" x14ac:dyDescent="0.25">
      <c r="A53" s="182" t="s">
        <v>277</v>
      </c>
      <c r="B53" s="214" t="s">
        <v>218</v>
      </c>
      <c r="C53" s="100"/>
      <c r="D53" s="101"/>
      <c r="T53" s="4"/>
      <c r="U53" s="4"/>
      <c r="V53" s="4"/>
      <c r="W53" s="4"/>
      <c r="AC53" s="257"/>
    </row>
    <row r="54" spans="1:45" x14ac:dyDescent="0.2">
      <c r="A54" s="11"/>
      <c r="B54" s="126">
        <f ca="1">NOW()</f>
        <v>42696.387155324075</v>
      </c>
      <c r="C54" s="127" t="s">
        <v>40</v>
      </c>
      <c r="D54" s="127" t="s">
        <v>41</v>
      </c>
      <c r="E54" s="127" t="s">
        <v>43</v>
      </c>
      <c r="F54" s="127" t="s">
        <v>219</v>
      </c>
      <c r="G54" s="11" t="s">
        <v>220</v>
      </c>
      <c r="H54" s="10" t="s">
        <v>44</v>
      </c>
      <c r="I54" s="10" t="s">
        <v>6</v>
      </c>
      <c r="J54" s="10" t="s">
        <v>7</v>
      </c>
      <c r="K54" s="13" t="s">
        <v>8</v>
      </c>
      <c r="L54" s="10" t="s">
        <v>9</v>
      </c>
      <c r="M54" s="127" t="s">
        <v>45</v>
      </c>
      <c r="N54" s="10" t="s">
        <v>11</v>
      </c>
      <c r="O54" s="10" t="s">
        <v>12</v>
      </c>
      <c r="P54" s="10" t="s">
        <v>13</v>
      </c>
      <c r="Q54" s="10" t="s">
        <v>14</v>
      </c>
      <c r="R54" s="10" t="s">
        <v>15</v>
      </c>
      <c r="S54" s="10" t="s">
        <v>16</v>
      </c>
      <c r="T54" s="12" t="s">
        <v>17</v>
      </c>
      <c r="U54" s="12" t="s">
        <v>18</v>
      </c>
      <c r="V54" s="12" t="s">
        <v>19</v>
      </c>
      <c r="W54" s="128" t="s">
        <v>133</v>
      </c>
      <c r="X54" s="10" t="s">
        <v>20</v>
      </c>
      <c r="Y54" s="10" t="s">
        <v>21</v>
      </c>
    </row>
    <row r="55" spans="1:45" x14ac:dyDescent="0.2">
      <c r="C55" s="16">
        <v>3</v>
      </c>
      <c r="D55" s="16">
        <v>5</v>
      </c>
      <c r="E55" s="16">
        <v>1</v>
      </c>
      <c r="F55" s="16">
        <v>2</v>
      </c>
      <c r="G55" s="16">
        <v>2</v>
      </c>
      <c r="H55" s="16">
        <v>20</v>
      </c>
      <c r="I55" s="2"/>
      <c r="J55" s="2"/>
      <c r="K55" s="103"/>
      <c r="L55" s="2"/>
      <c r="M55" s="16">
        <v>7</v>
      </c>
      <c r="N55" s="16">
        <v>9</v>
      </c>
      <c r="O55" s="16">
        <v>10</v>
      </c>
      <c r="P55" s="16">
        <v>11</v>
      </c>
      <c r="Q55" s="16">
        <v>12</v>
      </c>
      <c r="R55" s="16">
        <v>13</v>
      </c>
      <c r="S55" s="16">
        <v>14</v>
      </c>
      <c r="T55" s="17">
        <v>15</v>
      </c>
      <c r="U55" s="17">
        <v>15</v>
      </c>
      <c r="V55" s="17">
        <v>15</v>
      </c>
      <c r="W55" s="17">
        <v>0</v>
      </c>
      <c r="X55" s="2"/>
      <c r="Y55" s="2"/>
    </row>
    <row r="56" spans="1:45" x14ac:dyDescent="0.2">
      <c r="A56" s="10" t="s">
        <v>37</v>
      </c>
      <c r="B56" s="1" t="s">
        <v>42</v>
      </c>
      <c r="T56" s="4"/>
      <c r="U56" s="4"/>
      <c r="V56" s="4"/>
      <c r="W56" s="4"/>
    </row>
    <row r="57" spans="1:45" x14ac:dyDescent="0.2">
      <c r="A57" s="1">
        <v>3</v>
      </c>
      <c r="B57" s="107">
        <v>60475.92</v>
      </c>
      <c r="C57" s="5">
        <f t="shared" ref="C57:J58" si="16">$B57/$Y5*C5</f>
        <v>67.130201193284307</v>
      </c>
      <c r="D57" s="5">
        <f t="shared" si="16"/>
        <v>50.34765089496323</v>
      </c>
      <c r="E57" s="5">
        <f t="shared" si="16"/>
        <v>0</v>
      </c>
      <c r="F57" s="5">
        <f t="shared" si="16"/>
        <v>8.3912751491605384</v>
      </c>
      <c r="G57" s="5">
        <f t="shared" si="16"/>
        <v>16.782550298321077</v>
      </c>
      <c r="H57" s="5">
        <f t="shared" si="16"/>
        <v>59057.794499791868</v>
      </c>
      <c r="I57" s="5">
        <f t="shared" si="16"/>
        <v>721.64966282780631</v>
      </c>
      <c r="J57" s="5">
        <f t="shared" si="16"/>
        <v>176.2167781323713</v>
      </c>
      <c r="K57" s="5"/>
      <c r="L57" s="5"/>
      <c r="M57" s="5">
        <f t="shared" ref="M57:X58" si="17">$B57/$Y5*M5</f>
        <v>0</v>
      </c>
      <c r="N57" s="5">
        <f t="shared" si="17"/>
        <v>0</v>
      </c>
      <c r="O57" s="5">
        <f t="shared" si="17"/>
        <v>0</v>
      </c>
      <c r="P57" s="5">
        <f t="shared" si="17"/>
        <v>0</v>
      </c>
      <c r="Q57" s="5">
        <f t="shared" si="17"/>
        <v>0</v>
      </c>
      <c r="R57" s="5">
        <f t="shared" si="17"/>
        <v>0</v>
      </c>
      <c r="S57" s="5">
        <f t="shared" si="17"/>
        <v>0</v>
      </c>
      <c r="T57" s="107">
        <f t="shared" si="17"/>
        <v>0</v>
      </c>
      <c r="U57" s="107">
        <f t="shared" si="17"/>
        <v>0</v>
      </c>
      <c r="V57" s="107">
        <f t="shared" si="17"/>
        <v>377.60738171222425</v>
      </c>
      <c r="W57" s="107">
        <f t="shared" si="17"/>
        <v>0</v>
      </c>
      <c r="X57" s="5">
        <f t="shared" si="17"/>
        <v>0</v>
      </c>
      <c r="Y57" s="5">
        <f>SUM(C57:X57)</f>
        <v>60475.92</v>
      </c>
      <c r="AB57" s="50"/>
    </row>
    <row r="58" spans="1:45" ht="13.5" thickBot="1" x14ac:dyDescent="0.25">
      <c r="A58" s="1">
        <v>4</v>
      </c>
      <c r="B58" s="107">
        <v>27649</v>
      </c>
      <c r="C58" s="5">
        <f t="shared" si="16"/>
        <v>0</v>
      </c>
      <c r="D58" s="5">
        <f t="shared" si="16"/>
        <v>0</v>
      </c>
      <c r="E58" s="5">
        <f t="shared" si="16"/>
        <v>0</v>
      </c>
      <c r="F58" s="5">
        <f t="shared" si="16"/>
        <v>0</v>
      </c>
      <c r="G58" s="5">
        <f t="shared" si="16"/>
        <v>0</v>
      </c>
      <c r="H58" s="5">
        <f t="shared" si="16"/>
        <v>18615.433131801692</v>
      </c>
      <c r="I58" s="5">
        <f t="shared" si="16"/>
        <v>0</v>
      </c>
      <c r="J58" s="5">
        <f t="shared" si="16"/>
        <v>0</v>
      </c>
      <c r="K58" s="5"/>
      <c r="L58" s="5"/>
      <c r="M58" s="5">
        <f t="shared" si="17"/>
        <v>2942.0943168077388</v>
      </c>
      <c r="N58" s="5">
        <f t="shared" si="17"/>
        <v>427.94099153567112</v>
      </c>
      <c r="O58" s="5">
        <f t="shared" si="17"/>
        <v>708.77726723095532</v>
      </c>
      <c r="P58" s="5">
        <f t="shared" si="17"/>
        <v>427.94099153567112</v>
      </c>
      <c r="Q58" s="5">
        <f t="shared" si="17"/>
        <v>280.83627569528414</v>
      </c>
      <c r="R58" s="5">
        <f t="shared" si="17"/>
        <v>427.94099153567112</v>
      </c>
      <c r="S58" s="5">
        <f t="shared" si="17"/>
        <v>708.77726723095532</v>
      </c>
      <c r="T58" s="107">
        <f t="shared" si="17"/>
        <v>561.67255139056829</v>
      </c>
      <c r="U58" s="107">
        <f t="shared" si="17"/>
        <v>280.83627569528414</v>
      </c>
      <c r="V58" s="107">
        <f t="shared" si="17"/>
        <v>2266.749939540508</v>
      </c>
      <c r="W58" s="107">
        <f t="shared" si="17"/>
        <v>0</v>
      </c>
      <c r="X58" s="5">
        <f t="shared" si="17"/>
        <v>0</v>
      </c>
      <c r="Y58" s="5">
        <f>SUM(C58:X58)</f>
        <v>27648.999999999996</v>
      </c>
    </row>
    <row r="59" spans="1:45" x14ac:dyDescent="0.2">
      <c r="A59" s="215">
        <v>55</v>
      </c>
      <c r="B59" s="208">
        <f>739247.77-671143</f>
        <v>68104.770000000019</v>
      </c>
      <c r="C59" s="5">
        <f>($B59+B60)/$Y7*C7</f>
        <v>894.15452954048169</v>
      </c>
      <c r="D59" s="5">
        <f>($B59+B60)/$Y7*D7</f>
        <v>596.10301969365446</v>
      </c>
      <c r="E59" s="5">
        <f>($B59+B60)/$Y7*E7</f>
        <v>596.10301969365446</v>
      </c>
      <c r="F59" s="5">
        <f>($B59+B60)/$Y7*F7</f>
        <v>2384.4120787746178</v>
      </c>
      <c r="G59" s="5">
        <f>($B59+B60)/$Y7*G7</f>
        <v>0</v>
      </c>
      <c r="H59" s="5">
        <f>($B59+B60)/$Y7*H7</f>
        <v>48731.421859956252</v>
      </c>
      <c r="I59" s="5">
        <f>($B59+B60)/$Y7*I7</f>
        <v>0</v>
      </c>
      <c r="J59" s="5">
        <f>($B59+B60)/$Y7*J7</f>
        <v>0</v>
      </c>
      <c r="K59" s="5"/>
      <c r="L59" s="5"/>
      <c r="M59" s="5">
        <f>($B59+B60)/$Y7*M7</f>
        <v>8643.4937855579901</v>
      </c>
      <c r="N59" s="5">
        <f>($B59+B60)/$Y7*N7</f>
        <v>745.12877461706807</v>
      </c>
      <c r="O59" s="5">
        <f>($B59+B60)/$Y7*O7</f>
        <v>1043.1802844638953</v>
      </c>
      <c r="P59" s="5">
        <f>($B59+B60)/$Y7*P7</f>
        <v>894.15452954048169</v>
      </c>
      <c r="Q59" s="5">
        <f>($B59+B60)/$Y7*Q7</f>
        <v>596.10301969365446</v>
      </c>
      <c r="R59" s="5">
        <f>($B59+B60)/$Y7*R7</f>
        <v>596.10301969365446</v>
      </c>
      <c r="S59" s="5">
        <f>($B59+B60)/$Y7*S7</f>
        <v>745.12877461706807</v>
      </c>
      <c r="T59" s="107">
        <f>($B59+B60)/$Y7*T7</f>
        <v>745.12877461706807</v>
      </c>
      <c r="U59" s="107">
        <f>($B59+B60)/$Y7*U7</f>
        <v>745.12877461706807</v>
      </c>
      <c r="V59" s="107">
        <f>($B59+B60)/$Y7*V7</f>
        <v>149.02575492341361</v>
      </c>
      <c r="W59" s="107">
        <f>($B59+B60)/$Y7*W7</f>
        <v>0</v>
      </c>
      <c r="X59" s="107">
        <f>(B59+B60)*X7/Y7</f>
        <v>0</v>
      </c>
      <c r="Y59" s="5">
        <f>SUM(C59:X59)</f>
        <v>68104.770000000019</v>
      </c>
    </row>
    <row r="60" spans="1:45" x14ac:dyDescent="0.2">
      <c r="A60" s="216">
        <v>5</v>
      </c>
      <c r="B60" s="217">
        <v>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07"/>
      <c r="U60" s="107"/>
      <c r="V60" s="107"/>
      <c r="W60" s="107"/>
      <c r="X60" s="5"/>
      <c r="Y60" s="5"/>
      <c r="Z60" s="50"/>
    </row>
    <row r="61" spans="1:45" ht="13.5" thickBot="1" x14ac:dyDescent="0.25">
      <c r="A61" s="209">
        <v>6</v>
      </c>
      <c r="B61" s="212">
        <f>8205.39+671143</f>
        <v>679348.39</v>
      </c>
      <c r="C61" s="5">
        <f>$B61/Y8*C8</f>
        <v>0</v>
      </c>
      <c r="D61" s="5">
        <f t="shared" ref="D61:J70" si="18">$B61/$Y8*D8</f>
        <v>0</v>
      </c>
      <c r="E61" s="5">
        <f t="shared" si="18"/>
        <v>0</v>
      </c>
      <c r="F61" s="5">
        <f t="shared" si="18"/>
        <v>0</v>
      </c>
      <c r="G61" s="5">
        <f t="shared" si="18"/>
        <v>0</v>
      </c>
      <c r="H61" s="5">
        <f t="shared" si="18"/>
        <v>464007.76826415095</v>
      </c>
      <c r="I61" s="5">
        <f t="shared" si="18"/>
        <v>0</v>
      </c>
      <c r="J61" s="5">
        <f t="shared" si="18"/>
        <v>5127.1576603773583</v>
      </c>
      <c r="K61" s="5"/>
      <c r="L61" s="5"/>
      <c r="M61" s="5">
        <f t="shared" ref="M61:X70" si="19">$B61/$Y8*M8</f>
        <v>210213.46407547168</v>
      </c>
      <c r="N61" s="5">
        <f t="shared" si="19"/>
        <v>0</v>
      </c>
      <c r="O61" s="5">
        <f t="shared" si="19"/>
        <v>0</v>
      </c>
      <c r="P61" s="5">
        <f t="shared" si="19"/>
        <v>0</v>
      </c>
      <c r="Q61" s="5">
        <f t="shared" si="19"/>
        <v>0</v>
      </c>
      <c r="R61" s="5">
        <f t="shared" si="19"/>
        <v>0</v>
      </c>
      <c r="S61" s="5">
        <f t="shared" si="19"/>
        <v>0</v>
      </c>
      <c r="T61" s="107">
        <f t="shared" si="19"/>
        <v>0</v>
      </c>
      <c r="U61" s="107">
        <f t="shared" si="19"/>
        <v>0</v>
      </c>
      <c r="V61" s="107">
        <f t="shared" si="19"/>
        <v>0</v>
      </c>
      <c r="W61" s="107">
        <f t="shared" si="19"/>
        <v>0</v>
      </c>
      <c r="X61" s="5">
        <f t="shared" si="19"/>
        <v>0</v>
      </c>
      <c r="Y61" s="5">
        <f t="shared" ref="Y61:Y88" si="20">SUM(C61:X61)</f>
        <v>679348.39</v>
      </c>
    </row>
    <row r="62" spans="1:45" x14ac:dyDescent="0.2">
      <c r="A62" s="1">
        <v>7</v>
      </c>
      <c r="B62" s="107">
        <v>0</v>
      </c>
      <c r="C62" s="5">
        <f t="shared" ref="C62:C70" si="21">$B62/$Y9*C9</f>
        <v>0</v>
      </c>
      <c r="D62" s="5">
        <f t="shared" si="18"/>
        <v>0</v>
      </c>
      <c r="E62" s="5">
        <f t="shared" si="18"/>
        <v>0</v>
      </c>
      <c r="F62" s="5">
        <f t="shared" si="18"/>
        <v>0</v>
      </c>
      <c r="G62" s="5">
        <f t="shared" si="18"/>
        <v>0</v>
      </c>
      <c r="H62" s="5">
        <f t="shared" si="18"/>
        <v>0</v>
      </c>
      <c r="I62" s="5">
        <f t="shared" si="18"/>
        <v>0</v>
      </c>
      <c r="J62" s="5">
        <f t="shared" si="18"/>
        <v>0</v>
      </c>
      <c r="K62" s="5"/>
      <c r="L62" s="5"/>
      <c r="M62" s="5">
        <f t="shared" si="19"/>
        <v>0</v>
      </c>
      <c r="N62" s="5">
        <f t="shared" si="19"/>
        <v>0</v>
      </c>
      <c r="O62" s="5">
        <f t="shared" si="19"/>
        <v>0</v>
      </c>
      <c r="P62" s="5">
        <f t="shared" si="19"/>
        <v>0</v>
      </c>
      <c r="Q62" s="5">
        <f t="shared" si="19"/>
        <v>0</v>
      </c>
      <c r="R62" s="5">
        <f t="shared" si="19"/>
        <v>0</v>
      </c>
      <c r="S62" s="5">
        <f t="shared" si="19"/>
        <v>0</v>
      </c>
      <c r="T62" s="107">
        <f t="shared" si="19"/>
        <v>0</v>
      </c>
      <c r="U62" s="107">
        <f t="shared" si="19"/>
        <v>0</v>
      </c>
      <c r="V62" s="107">
        <f t="shared" si="19"/>
        <v>0</v>
      </c>
      <c r="W62" s="107">
        <f t="shared" si="19"/>
        <v>0</v>
      </c>
      <c r="X62" s="5">
        <f t="shared" si="19"/>
        <v>0</v>
      </c>
      <c r="Y62" s="5">
        <f t="shared" si="20"/>
        <v>0</v>
      </c>
    </row>
    <row r="63" spans="1:45" x14ac:dyDescent="0.2">
      <c r="A63" s="1">
        <v>8</v>
      </c>
      <c r="B63" s="107">
        <v>3870.58</v>
      </c>
      <c r="C63" s="5">
        <f t="shared" si="21"/>
        <v>0</v>
      </c>
      <c r="D63" s="5">
        <f t="shared" si="18"/>
        <v>0</v>
      </c>
      <c r="E63" s="5">
        <f t="shared" si="18"/>
        <v>0</v>
      </c>
      <c r="F63" s="5">
        <f t="shared" si="18"/>
        <v>0</v>
      </c>
      <c r="G63" s="5">
        <f t="shared" si="18"/>
        <v>0</v>
      </c>
      <c r="H63" s="5">
        <f t="shared" si="18"/>
        <v>3572.8430769230768</v>
      </c>
      <c r="I63" s="5">
        <f t="shared" si="18"/>
        <v>198.49128205128204</v>
      </c>
      <c r="J63" s="5">
        <f t="shared" si="18"/>
        <v>99.245641025641021</v>
      </c>
      <c r="K63" s="5"/>
      <c r="L63" s="5"/>
      <c r="M63" s="5">
        <f t="shared" si="19"/>
        <v>0</v>
      </c>
      <c r="N63" s="5">
        <f t="shared" si="19"/>
        <v>0</v>
      </c>
      <c r="O63" s="5">
        <f t="shared" si="19"/>
        <v>0</v>
      </c>
      <c r="P63" s="5">
        <f t="shared" si="19"/>
        <v>0</v>
      </c>
      <c r="Q63" s="5">
        <f t="shared" si="19"/>
        <v>0</v>
      </c>
      <c r="R63" s="5">
        <f t="shared" si="19"/>
        <v>0</v>
      </c>
      <c r="S63" s="5">
        <f t="shared" si="19"/>
        <v>0</v>
      </c>
      <c r="T63" s="107">
        <f t="shared" si="19"/>
        <v>0</v>
      </c>
      <c r="U63" s="107">
        <f t="shared" si="19"/>
        <v>0</v>
      </c>
      <c r="V63" s="107">
        <f t="shared" si="19"/>
        <v>0</v>
      </c>
      <c r="W63" s="107">
        <f t="shared" si="19"/>
        <v>0</v>
      </c>
      <c r="X63" s="5">
        <f t="shared" si="19"/>
        <v>0</v>
      </c>
      <c r="Y63" s="5">
        <f t="shared" si="20"/>
        <v>3870.58</v>
      </c>
    </row>
    <row r="64" spans="1:45" x14ac:dyDescent="0.2">
      <c r="A64" s="1">
        <v>9</v>
      </c>
      <c r="B64" s="107">
        <v>375</v>
      </c>
      <c r="C64" s="5">
        <f t="shared" si="21"/>
        <v>24.558900535177017</v>
      </c>
      <c r="D64" s="5">
        <f t="shared" si="18"/>
        <v>8.5601696946029655</v>
      </c>
      <c r="E64" s="5">
        <f t="shared" si="18"/>
        <v>15.799037923903686</v>
      </c>
      <c r="F64" s="5">
        <f t="shared" si="18"/>
        <v>24.538931243509982</v>
      </c>
      <c r="G64" s="5">
        <f t="shared" si="18"/>
        <v>25.537395826861804</v>
      </c>
      <c r="H64" s="5">
        <f t="shared" si="18"/>
        <v>185.83090003816355</v>
      </c>
      <c r="I64" s="5">
        <f t="shared" si="18"/>
        <v>0</v>
      </c>
      <c r="J64" s="5">
        <f t="shared" si="18"/>
        <v>0</v>
      </c>
      <c r="K64" s="5"/>
      <c r="L64" s="5"/>
      <c r="M64" s="5">
        <f t="shared" si="19"/>
        <v>25.031507104630215</v>
      </c>
      <c r="N64" s="5">
        <f t="shared" si="19"/>
        <v>6.4534094237306192</v>
      </c>
      <c r="O64" s="5">
        <f t="shared" si="19"/>
        <v>13.332830403024682</v>
      </c>
      <c r="P64" s="5">
        <f t="shared" si="19"/>
        <v>8.8197704862744395</v>
      </c>
      <c r="Q64" s="5">
        <f t="shared" si="19"/>
        <v>5.9974439306666198</v>
      </c>
      <c r="R64" s="5">
        <f t="shared" si="19"/>
        <v>5.08884115981646</v>
      </c>
      <c r="S64" s="5">
        <f t="shared" si="19"/>
        <v>8.7665190418290102</v>
      </c>
      <c r="T64" s="107">
        <f t="shared" si="19"/>
        <v>10.277528777968103</v>
      </c>
      <c r="U64" s="107">
        <f t="shared" si="19"/>
        <v>5.3750676737106495</v>
      </c>
      <c r="V64" s="107">
        <f t="shared" si="19"/>
        <v>1.0317467361302175</v>
      </c>
      <c r="W64" s="107">
        <f t="shared" si="19"/>
        <v>0</v>
      </c>
      <c r="X64" s="5">
        <f t="shared" si="19"/>
        <v>0</v>
      </c>
      <c r="Y64" s="5">
        <f t="shared" si="20"/>
        <v>375</v>
      </c>
    </row>
    <row r="65" spans="1:26" x14ac:dyDescent="0.2">
      <c r="A65" s="1">
        <v>11</v>
      </c>
      <c r="B65" s="107">
        <v>8600.35</v>
      </c>
      <c r="C65" s="5">
        <f t="shared" si="21"/>
        <v>563.24037391389243</v>
      </c>
      <c r="D65" s="5">
        <f t="shared" si="18"/>
        <v>196.321214487943</v>
      </c>
      <c r="E65" s="5">
        <f t="shared" si="18"/>
        <v>362.33934882358687</v>
      </c>
      <c r="F65" s="5">
        <f t="shared" si="18"/>
        <v>562.78239285365612</v>
      </c>
      <c r="G65" s="5">
        <f t="shared" si="18"/>
        <v>585.68144586546907</v>
      </c>
      <c r="H65" s="5">
        <f t="shared" si="18"/>
        <v>4261.8954163819199</v>
      </c>
      <c r="I65" s="5">
        <f t="shared" si="18"/>
        <v>0</v>
      </c>
      <c r="J65" s="5">
        <f t="shared" si="18"/>
        <v>0</v>
      </c>
      <c r="K65" s="5"/>
      <c r="L65" s="5"/>
      <c r="M65" s="5">
        <f t="shared" si="19"/>
        <v>574.07925900615055</v>
      </c>
      <c r="N65" s="5">
        <f t="shared" si="19"/>
        <v>148.00421263301769</v>
      </c>
      <c r="O65" s="5">
        <f t="shared" si="19"/>
        <v>305.7786878844089</v>
      </c>
      <c r="P65" s="5">
        <f t="shared" si="19"/>
        <v>202.27496827101436</v>
      </c>
      <c r="Q65" s="5">
        <f t="shared" si="19"/>
        <v>137.54697842428976</v>
      </c>
      <c r="R65" s="5">
        <f t="shared" si="19"/>
        <v>116.70884018353998</v>
      </c>
      <c r="S65" s="5">
        <f t="shared" si="19"/>
        <v>201.05368544371765</v>
      </c>
      <c r="T65" s="107">
        <f t="shared" si="19"/>
        <v>235.70758566826126</v>
      </c>
      <c r="U65" s="107">
        <f t="shared" si="19"/>
        <v>123.27323538025969</v>
      </c>
      <c r="V65" s="107">
        <f t="shared" si="19"/>
        <v>23.662354778873379</v>
      </c>
      <c r="W65" s="107">
        <f t="shared" si="19"/>
        <v>0</v>
      </c>
      <c r="X65" s="5">
        <f t="shared" si="19"/>
        <v>0</v>
      </c>
      <c r="Y65" s="5">
        <f t="shared" si="20"/>
        <v>8600.35</v>
      </c>
    </row>
    <row r="66" spans="1:26" x14ac:dyDescent="0.2">
      <c r="A66" s="1">
        <v>12</v>
      </c>
      <c r="B66" s="107">
        <v>120749.64</v>
      </c>
      <c r="C66" s="5">
        <f t="shared" si="21"/>
        <v>0</v>
      </c>
      <c r="D66" s="5">
        <f t="shared" si="18"/>
        <v>0</v>
      </c>
      <c r="E66" s="5">
        <f t="shared" si="18"/>
        <v>0</v>
      </c>
      <c r="F66" s="5">
        <f t="shared" si="18"/>
        <v>0</v>
      </c>
      <c r="G66" s="5">
        <f t="shared" si="18"/>
        <v>0</v>
      </c>
      <c r="H66" s="5">
        <f t="shared" si="18"/>
        <v>106415.43262516573</v>
      </c>
      <c r="I66" s="5">
        <f t="shared" si="18"/>
        <v>0</v>
      </c>
      <c r="J66" s="5">
        <f t="shared" si="18"/>
        <v>0</v>
      </c>
      <c r="K66" s="5"/>
      <c r="L66" s="5"/>
      <c r="M66" s="5">
        <f t="shared" si="19"/>
        <v>14334.20737483427</v>
      </c>
      <c r="N66" s="5">
        <f t="shared" si="19"/>
        <v>0</v>
      </c>
      <c r="O66" s="5">
        <f t="shared" si="19"/>
        <v>0</v>
      </c>
      <c r="P66" s="5">
        <f t="shared" si="19"/>
        <v>0</v>
      </c>
      <c r="Q66" s="5">
        <f t="shared" si="19"/>
        <v>0</v>
      </c>
      <c r="R66" s="5">
        <f t="shared" si="19"/>
        <v>0</v>
      </c>
      <c r="S66" s="5">
        <f t="shared" si="19"/>
        <v>0</v>
      </c>
      <c r="T66" s="107">
        <f t="shared" si="19"/>
        <v>0</v>
      </c>
      <c r="U66" s="107">
        <f t="shared" si="19"/>
        <v>0</v>
      </c>
      <c r="V66" s="107">
        <f t="shared" si="19"/>
        <v>0</v>
      </c>
      <c r="W66" s="107">
        <f t="shared" si="19"/>
        <v>0</v>
      </c>
      <c r="X66" s="5">
        <f t="shared" si="19"/>
        <v>0</v>
      </c>
      <c r="Y66" s="5">
        <f t="shared" si="20"/>
        <v>120749.64</v>
      </c>
    </row>
    <row r="67" spans="1:26" x14ac:dyDescent="0.2">
      <c r="A67" s="1">
        <v>13</v>
      </c>
      <c r="B67" s="107">
        <v>0</v>
      </c>
      <c r="C67" s="5">
        <f t="shared" si="21"/>
        <v>0</v>
      </c>
      <c r="D67" s="5">
        <f t="shared" si="18"/>
        <v>0</v>
      </c>
      <c r="E67" s="5">
        <f t="shared" si="18"/>
        <v>0</v>
      </c>
      <c r="F67" s="5">
        <f t="shared" si="18"/>
        <v>0</v>
      </c>
      <c r="G67" s="5">
        <f t="shared" si="18"/>
        <v>0</v>
      </c>
      <c r="H67" s="5">
        <f t="shared" si="18"/>
        <v>0</v>
      </c>
      <c r="I67" s="5">
        <f t="shared" si="18"/>
        <v>0</v>
      </c>
      <c r="J67" s="5">
        <f t="shared" si="18"/>
        <v>0</v>
      </c>
      <c r="K67" s="5"/>
      <c r="L67" s="5"/>
      <c r="M67" s="5">
        <f t="shared" si="19"/>
        <v>0</v>
      </c>
      <c r="N67" s="5">
        <f t="shared" si="19"/>
        <v>0</v>
      </c>
      <c r="O67" s="5">
        <f t="shared" si="19"/>
        <v>0</v>
      </c>
      <c r="P67" s="5">
        <f t="shared" si="19"/>
        <v>0</v>
      </c>
      <c r="Q67" s="5">
        <f t="shared" si="19"/>
        <v>0</v>
      </c>
      <c r="R67" s="5">
        <f t="shared" si="19"/>
        <v>0</v>
      </c>
      <c r="S67" s="5">
        <f t="shared" si="19"/>
        <v>0</v>
      </c>
      <c r="T67" s="107">
        <f t="shared" si="19"/>
        <v>0</v>
      </c>
      <c r="U67" s="107">
        <f t="shared" si="19"/>
        <v>0</v>
      </c>
      <c r="V67" s="107">
        <f t="shared" si="19"/>
        <v>0</v>
      </c>
      <c r="W67" s="107">
        <f t="shared" si="19"/>
        <v>0</v>
      </c>
      <c r="X67" s="5">
        <f t="shared" si="19"/>
        <v>0</v>
      </c>
      <c r="Y67" s="5">
        <f t="shared" si="20"/>
        <v>0</v>
      </c>
      <c r="Z67" s="50"/>
    </row>
    <row r="68" spans="1:26" x14ac:dyDescent="0.2">
      <c r="A68" s="1">
        <v>14</v>
      </c>
      <c r="B68" s="107">
        <v>2997.99</v>
      </c>
      <c r="C68" s="5">
        <f t="shared" si="21"/>
        <v>0</v>
      </c>
      <c r="D68" s="5">
        <f t="shared" si="18"/>
        <v>0</v>
      </c>
      <c r="E68" s="5">
        <f t="shared" si="18"/>
        <v>0</v>
      </c>
      <c r="F68" s="5">
        <f t="shared" si="18"/>
        <v>2997.99</v>
      </c>
      <c r="G68" s="5">
        <f t="shared" si="18"/>
        <v>0</v>
      </c>
      <c r="H68" s="5">
        <f t="shared" si="18"/>
        <v>0</v>
      </c>
      <c r="I68" s="5">
        <f t="shared" si="18"/>
        <v>0</v>
      </c>
      <c r="J68" s="5">
        <f t="shared" si="18"/>
        <v>0</v>
      </c>
      <c r="K68" s="5"/>
      <c r="L68" s="5"/>
      <c r="M68" s="5">
        <f t="shared" si="19"/>
        <v>0</v>
      </c>
      <c r="N68" s="5">
        <f t="shared" si="19"/>
        <v>0</v>
      </c>
      <c r="O68" s="5">
        <f t="shared" si="19"/>
        <v>0</v>
      </c>
      <c r="P68" s="5">
        <f t="shared" si="19"/>
        <v>0</v>
      </c>
      <c r="Q68" s="5">
        <f t="shared" si="19"/>
        <v>0</v>
      </c>
      <c r="R68" s="5">
        <f t="shared" si="19"/>
        <v>0</v>
      </c>
      <c r="S68" s="5">
        <f t="shared" si="19"/>
        <v>0</v>
      </c>
      <c r="T68" s="107">
        <f t="shared" si="19"/>
        <v>0</v>
      </c>
      <c r="U68" s="107">
        <f t="shared" si="19"/>
        <v>0</v>
      </c>
      <c r="V68" s="107">
        <f t="shared" si="19"/>
        <v>0</v>
      </c>
      <c r="W68" s="107">
        <f t="shared" si="19"/>
        <v>0</v>
      </c>
      <c r="X68" s="5">
        <f t="shared" si="19"/>
        <v>0</v>
      </c>
      <c r="Y68" s="5">
        <f t="shared" si="20"/>
        <v>2997.99</v>
      </c>
    </row>
    <row r="69" spans="1:26" x14ac:dyDescent="0.2">
      <c r="A69" s="1">
        <v>15</v>
      </c>
      <c r="B69" s="107">
        <v>630</v>
      </c>
      <c r="C69" s="5">
        <f t="shared" si="21"/>
        <v>0</v>
      </c>
      <c r="D69" s="5">
        <f t="shared" si="18"/>
        <v>0</v>
      </c>
      <c r="E69" s="5">
        <f t="shared" si="18"/>
        <v>0</v>
      </c>
      <c r="F69" s="5">
        <f t="shared" si="18"/>
        <v>0</v>
      </c>
      <c r="G69" s="5">
        <f t="shared" si="18"/>
        <v>0</v>
      </c>
      <c r="H69" s="5">
        <f t="shared" si="18"/>
        <v>630</v>
      </c>
      <c r="I69" s="5">
        <f t="shared" si="18"/>
        <v>0</v>
      </c>
      <c r="J69" s="5">
        <f t="shared" si="18"/>
        <v>0</v>
      </c>
      <c r="K69" s="5"/>
      <c r="L69" s="5"/>
      <c r="M69" s="5">
        <f t="shared" si="19"/>
        <v>0</v>
      </c>
      <c r="N69" s="5">
        <f t="shared" si="19"/>
        <v>0</v>
      </c>
      <c r="O69" s="5">
        <f t="shared" si="19"/>
        <v>0</v>
      </c>
      <c r="P69" s="5">
        <f t="shared" si="19"/>
        <v>0</v>
      </c>
      <c r="Q69" s="5">
        <f t="shared" si="19"/>
        <v>0</v>
      </c>
      <c r="R69" s="5">
        <f t="shared" si="19"/>
        <v>0</v>
      </c>
      <c r="S69" s="5">
        <f t="shared" si="19"/>
        <v>0</v>
      </c>
      <c r="T69" s="107">
        <f t="shared" si="19"/>
        <v>0</v>
      </c>
      <c r="U69" s="107">
        <f t="shared" si="19"/>
        <v>0</v>
      </c>
      <c r="V69" s="107">
        <f t="shared" si="19"/>
        <v>0</v>
      </c>
      <c r="W69" s="107">
        <f t="shared" si="19"/>
        <v>0</v>
      </c>
      <c r="X69" s="5">
        <f t="shared" si="19"/>
        <v>0</v>
      </c>
      <c r="Y69" s="5">
        <f t="shared" si="20"/>
        <v>630</v>
      </c>
    </row>
    <row r="70" spans="1:26" x14ac:dyDescent="0.2">
      <c r="A70" s="1">
        <v>16</v>
      </c>
      <c r="B70" s="107">
        <v>0</v>
      </c>
      <c r="C70" s="5">
        <f t="shared" si="21"/>
        <v>0</v>
      </c>
      <c r="D70" s="5">
        <f t="shared" si="18"/>
        <v>0</v>
      </c>
      <c r="E70" s="5">
        <f t="shared" si="18"/>
        <v>0</v>
      </c>
      <c r="F70" s="5">
        <f t="shared" si="18"/>
        <v>0</v>
      </c>
      <c r="G70" s="5">
        <f t="shared" si="18"/>
        <v>0</v>
      </c>
      <c r="H70" s="5">
        <f t="shared" si="18"/>
        <v>0</v>
      </c>
      <c r="I70" s="5">
        <f t="shared" si="18"/>
        <v>0</v>
      </c>
      <c r="J70" s="5">
        <f t="shared" si="18"/>
        <v>0</v>
      </c>
      <c r="K70" s="5"/>
      <c r="L70" s="5"/>
      <c r="M70" s="5">
        <f t="shared" si="19"/>
        <v>0</v>
      </c>
      <c r="N70" s="5">
        <f t="shared" si="19"/>
        <v>0</v>
      </c>
      <c r="O70" s="5">
        <f t="shared" si="19"/>
        <v>0</v>
      </c>
      <c r="P70" s="5">
        <f t="shared" si="19"/>
        <v>0</v>
      </c>
      <c r="Q70" s="5">
        <f t="shared" si="19"/>
        <v>0</v>
      </c>
      <c r="R70" s="5">
        <f t="shared" si="19"/>
        <v>0</v>
      </c>
      <c r="S70" s="5">
        <f t="shared" si="19"/>
        <v>0</v>
      </c>
      <c r="T70" s="107">
        <f t="shared" si="19"/>
        <v>0</v>
      </c>
      <c r="U70" s="107">
        <f t="shared" si="19"/>
        <v>0</v>
      </c>
      <c r="V70" s="107">
        <f t="shared" si="19"/>
        <v>0</v>
      </c>
      <c r="W70" s="107">
        <f t="shared" si="19"/>
        <v>0</v>
      </c>
      <c r="X70" s="5">
        <f t="shared" si="19"/>
        <v>0</v>
      </c>
      <c r="Y70" s="5">
        <f t="shared" si="20"/>
        <v>0</v>
      </c>
    </row>
    <row r="71" spans="1:26" x14ac:dyDescent="0.2">
      <c r="A71" s="1">
        <v>18</v>
      </c>
      <c r="B71" s="107">
        <v>4308.13</v>
      </c>
      <c r="C71" s="5">
        <f t="shared" ref="C71:J71" si="22">$B71/$Y19*C19</f>
        <v>644.59904840115985</v>
      </c>
      <c r="D71" s="5">
        <f t="shared" si="22"/>
        <v>224.67932680414464</v>
      </c>
      <c r="E71" s="5">
        <f t="shared" si="22"/>
        <v>414.67836871666975</v>
      </c>
      <c r="F71" s="5">
        <f t="shared" si="22"/>
        <v>644.07491311312538</v>
      </c>
      <c r="G71" s="5">
        <f t="shared" si="22"/>
        <v>670.28167751485296</v>
      </c>
      <c r="H71" s="5">
        <f t="shared" si="22"/>
        <v>0</v>
      </c>
      <c r="I71" s="5">
        <f t="shared" si="22"/>
        <v>0</v>
      </c>
      <c r="J71" s="5">
        <f t="shared" si="22"/>
        <v>0</v>
      </c>
      <c r="K71" s="5"/>
      <c r="L71" s="5"/>
      <c r="M71" s="5">
        <f t="shared" ref="M71:X71" si="23">$B71/$Y19*M19</f>
        <v>0</v>
      </c>
      <c r="N71" s="5">
        <f t="shared" si="23"/>
        <v>169.38305391649939</v>
      </c>
      <c r="O71" s="5">
        <f t="shared" si="23"/>
        <v>349.94766064440256</v>
      </c>
      <c r="P71" s="5">
        <f t="shared" si="23"/>
        <v>231.4930855485938</v>
      </c>
      <c r="Q71" s="5">
        <f t="shared" si="23"/>
        <v>157.41529817304379</v>
      </c>
      <c r="R71" s="5">
        <f t="shared" si="23"/>
        <v>133.56714256747168</v>
      </c>
      <c r="S71" s="5">
        <f t="shared" si="23"/>
        <v>230.09539144716834</v>
      </c>
      <c r="T71" s="107">
        <f t="shared" si="23"/>
        <v>269.75496157511611</v>
      </c>
      <c r="U71" s="107">
        <f t="shared" si="23"/>
        <v>141.07974836263358</v>
      </c>
      <c r="V71" s="107">
        <f t="shared" si="23"/>
        <v>27.080323215118518</v>
      </c>
      <c r="W71" s="107">
        <f t="shared" si="23"/>
        <v>0</v>
      </c>
      <c r="X71" s="5">
        <f t="shared" si="23"/>
        <v>0</v>
      </c>
      <c r="Y71" s="5">
        <f t="shared" si="20"/>
        <v>4308.13</v>
      </c>
    </row>
    <row r="72" spans="1:26" x14ac:dyDescent="0.2">
      <c r="A72" s="1">
        <v>19</v>
      </c>
      <c r="B72" s="107">
        <v>3372.93</v>
      </c>
      <c r="C72" s="5">
        <f t="shared" ref="C72:J75" si="24">$B72/$Y21*C21</f>
        <v>0</v>
      </c>
      <c r="D72" s="5">
        <f t="shared" si="24"/>
        <v>674.5859999999999</v>
      </c>
      <c r="E72" s="5">
        <f t="shared" si="24"/>
        <v>0</v>
      </c>
      <c r="F72" s="5">
        <f t="shared" si="24"/>
        <v>0</v>
      </c>
      <c r="G72" s="5">
        <f t="shared" si="24"/>
        <v>0</v>
      </c>
      <c r="H72" s="5">
        <f t="shared" si="24"/>
        <v>2226.1337999999996</v>
      </c>
      <c r="I72" s="5">
        <f t="shared" si="24"/>
        <v>0</v>
      </c>
      <c r="J72" s="5">
        <f t="shared" si="24"/>
        <v>0</v>
      </c>
      <c r="K72" s="5"/>
      <c r="L72" s="5"/>
      <c r="M72" s="5">
        <f t="shared" ref="M72:X75" si="25">$B72/$Y21*M21</f>
        <v>0</v>
      </c>
      <c r="N72" s="5">
        <f t="shared" si="25"/>
        <v>0</v>
      </c>
      <c r="O72" s="5">
        <f t="shared" si="25"/>
        <v>0</v>
      </c>
      <c r="P72" s="5">
        <f t="shared" si="25"/>
        <v>0</v>
      </c>
      <c r="Q72" s="5">
        <f t="shared" si="25"/>
        <v>0</v>
      </c>
      <c r="R72" s="5">
        <f t="shared" si="25"/>
        <v>0</v>
      </c>
      <c r="S72" s="5">
        <f t="shared" si="25"/>
        <v>0</v>
      </c>
      <c r="T72" s="107">
        <f t="shared" si="25"/>
        <v>0</v>
      </c>
      <c r="U72" s="107">
        <f t="shared" si="25"/>
        <v>0</v>
      </c>
      <c r="V72" s="107">
        <f t="shared" si="25"/>
        <v>472.21019999999993</v>
      </c>
      <c r="W72" s="107">
        <f t="shared" si="25"/>
        <v>0</v>
      </c>
      <c r="X72" s="5">
        <f t="shared" si="25"/>
        <v>0</v>
      </c>
      <c r="Y72" s="5">
        <f t="shared" si="20"/>
        <v>3372.9299999999994</v>
      </c>
    </row>
    <row r="73" spans="1:26" x14ac:dyDescent="0.2">
      <c r="A73" s="1">
        <v>20</v>
      </c>
      <c r="B73" s="107">
        <v>206454.51</v>
      </c>
      <c r="C73" s="5">
        <f t="shared" si="24"/>
        <v>4397.4810629999993</v>
      </c>
      <c r="D73" s="5">
        <f t="shared" si="24"/>
        <v>1527.7633739999999</v>
      </c>
      <c r="E73" s="5">
        <f t="shared" si="24"/>
        <v>2828.4267869999999</v>
      </c>
      <c r="F73" s="5">
        <f t="shared" si="24"/>
        <v>4397.4810629999993</v>
      </c>
      <c r="G73" s="5">
        <f t="shared" si="24"/>
        <v>4562.6446709999991</v>
      </c>
      <c r="H73" s="5">
        <f t="shared" si="24"/>
        <v>165163.60799999998</v>
      </c>
      <c r="I73" s="5">
        <f t="shared" si="24"/>
        <v>0</v>
      </c>
      <c r="J73" s="5">
        <f t="shared" si="24"/>
        <v>0</v>
      </c>
      <c r="K73" s="5"/>
      <c r="L73" s="5"/>
      <c r="M73" s="5">
        <f t="shared" si="25"/>
        <v>11933.070678</v>
      </c>
      <c r="N73" s="5">
        <f t="shared" si="25"/>
        <v>1156.145256</v>
      </c>
      <c r="O73" s="5">
        <f t="shared" si="25"/>
        <v>2374.2268649999996</v>
      </c>
      <c r="P73" s="5">
        <f t="shared" si="25"/>
        <v>1569.0542759999998</v>
      </c>
      <c r="Q73" s="5">
        <f t="shared" si="25"/>
        <v>1073.5634519999999</v>
      </c>
      <c r="R73" s="5">
        <f t="shared" si="25"/>
        <v>908.39984399999992</v>
      </c>
      <c r="S73" s="5">
        <f t="shared" si="25"/>
        <v>1569.0542759999998</v>
      </c>
      <c r="T73" s="107">
        <f t="shared" si="25"/>
        <v>1837.4451389999999</v>
      </c>
      <c r="U73" s="107">
        <f t="shared" si="25"/>
        <v>970.33619699999986</v>
      </c>
      <c r="V73" s="107">
        <f t="shared" si="25"/>
        <v>185.80905899999999</v>
      </c>
      <c r="W73" s="107">
        <f t="shared" si="25"/>
        <v>0</v>
      </c>
      <c r="X73" s="5">
        <f t="shared" si="25"/>
        <v>0</v>
      </c>
      <c r="Y73" s="5">
        <f t="shared" si="20"/>
        <v>206454.50999999995</v>
      </c>
    </row>
    <row r="74" spans="1:26" x14ac:dyDescent="0.2">
      <c r="A74" s="1">
        <v>21</v>
      </c>
      <c r="B74" s="107">
        <v>0</v>
      </c>
      <c r="C74" s="5">
        <f t="shared" si="24"/>
        <v>0</v>
      </c>
      <c r="D74" s="5">
        <f t="shared" si="24"/>
        <v>0</v>
      </c>
      <c r="E74" s="5">
        <f t="shared" si="24"/>
        <v>0</v>
      </c>
      <c r="F74" s="5">
        <f t="shared" si="24"/>
        <v>0</v>
      </c>
      <c r="G74" s="5">
        <f t="shared" si="24"/>
        <v>0</v>
      </c>
      <c r="H74" s="5">
        <f t="shared" si="24"/>
        <v>0</v>
      </c>
      <c r="I74" s="5">
        <f t="shared" si="24"/>
        <v>0</v>
      </c>
      <c r="J74" s="5">
        <f t="shared" si="24"/>
        <v>0</v>
      </c>
      <c r="K74" s="5"/>
      <c r="L74" s="5"/>
      <c r="M74" s="5">
        <f t="shared" si="25"/>
        <v>0</v>
      </c>
      <c r="N74" s="5">
        <f t="shared" si="25"/>
        <v>0</v>
      </c>
      <c r="O74" s="5">
        <f t="shared" si="25"/>
        <v>0</v>
      </c>
      <c r="P74" s="5">
        <f t="shared" si="25"/>
        <v>0</v>
      </c>
      <c r="Q74" s="5">
        <f t="shared" si="25"/>
        <v>0</v>
      </c>
      <c r="R74" s="5">
        <f t="shared" si="25"/>
        <v>0</v>
      </c>
      <c r="S74" s="5">
        <f t="shared" si="25"/>
        <v>0</v>
      </c>
      <c r="T74" s="107">
        <f t="shared" si="25"/>
        <v>0</v>
      </c>
      <c r="U74" s="107">
        <f t="shared" si="25"/>
        <v>0</v>
      </c>
      <c r="V74" s="107">
        <f t="shared" si="25"/>
        <v>0</v>
      </c>
      <c r="W74" s="107">
        <f t="shared" si="25"/>
        <v>0</v>
      </c>
      <c r="X74" s="5">
        <f t="shared" si="25"/>
        <v>0</v>
      </c>
      <c r="Y74" s="5">
        <f t="shared" si="20"/>
        <v>0</v>
      </c>
    </row>
    <row r="75" spans="1:26" x14ac:dyDescent="0.2">
      <c r="A75" s="1">
        <v>22</v>
      </c>
      <c r="B75" s="107">
        <v>0</v>
      </c>
      <c r="C75" s="5">
        <f t="shared" si="24"/>
        <v>0</v>
      </c>
      <c r="D75" s="5">
        <f t="shared" si="24"/>
        <v>0</v>
      </c>
      <c r="E75" s="5">
        <f t="shared" si="24"/>
        <v>0</v>
      </c>
      <c r="F75" s="5">
        <f t="shared" si="24"/>
        <v>0</v>
      </c>
      <c r="G75" s="5">
        <f t="shared" si="24"/>
        <v>0</v>
      </c>
      <c r="H75" s="5">
        <f t="shared" si="24"/>
        <v>0</v>
      </c>
      <c r="I75" s="5">
        <f t="shared" si="24"/>
        <v>0</v>
      </c>
      <c r="J75" s="5">
        <f t="shared" si="24"/>
        <v>0</v>
      </c>
      <c r="K75" s="5"/>
      <c r="L75" s="5"/>
      <c r="M75" s="5">
        <f t="shared" si="25"/>
        <v>0</v>
      </c>
      <c r="N75" s="5">
        <f t="shared" si="25"/>
        <v>0</v>
      </c>
      <c r="O75" s="5">
        <f t="shared" si="25"/>
        <v>0</v>
      </c>
      <c r="P75" s="5">
        <f t="shared" si="25"/>
        <v>0</v>
      </c>
      <c r="Q75" s="5">
        <f t="shared" si="25"/>
        <v>0</v>
      </c>
      <c r="R75" s="5">
        <f t="shared" si="25"/>
        <v>0</v>
      </c>
      <c r="S75" s="5">
        <f t="shared" si="25"/>
        <v>0</v>
      </c>
      <c r="T75" s="107">
        <f t="shared" si="25"/>
        <v>0</v>
      </c>
      <c r="U75" s="107">
        <f t="shared" si="25"/>
        <v>0</v>
      </c>
      <c r="V75" s="107">
        <f t="shared" si="25"/>
        <v>0</v>
      </c>
      <c r="W75" s="107">
        <f t="shared" si="25"/>
        <v>0</v>
      </c>
      <c r="X75" s="5">
        <f t="shared" si="25"/>
        <v>0</v>
      </c>
      <c r="Y75" s="5">
        <f t="shared" si="20"/>
        <v>0</v>
      </c>
    </row>
    <row r="76" spans="1:26" x14ac:dyDescent="0.2">
      <c r="A76" s="1">
        <v>23</v>
      </c>
      <c r="B76" s="107">
        <v>103028.14</v>
      </c>
      <c r="C76" s="5">
        <f t="shared" ref="C76:J78" si="26">$B76/$Y26*C26</f>
        <v>1530.9107096239804</v>
      </c>
      <c r="D76" s="5">
        <f t="shared" si="26"/>
        <v>533.60920790796558</v>
      </c>
      <c r="E76" s="5">
        <f t="shared" si="26"/>
        <v>984.85338644600017</v>
      </c>
      <c r="F76" s="5">
        <f t="shared" si="26"/>
        <v>1529.6658980969789</v>
      </c>
      <c r="G76" s="5">
        <f t="shared" si="26"/>
        <v>1591.9064744470527</v>
      </c>
      <c r="H76" s="5">
        <f t="shared" si="26"/>
        <v>88635.421656221122</v>
      </c>
      <c r="I76" s="5">
        <f t="shared" si="26"/>
        <v>0</v>
      </c>
      <c r="J76" s="5">
        <f t="shared" si="26"/>
        <v>0</v>
      </c>
      <c r="K76" s="5"/>
      <c r="L76" s="5"/>
      <c r="M76" s="5">
        <f t="shared" ref="M76:X78" si="27">$B76/$Y26*M26</f>
        <v>4160.9899975902626</v>
      </c>
      <c r="N76" s="5">
        <f t="shared" si="27"/>
        <v>402.28159180930993</v>
      </c>
      <c r="O76" s="5">
        <f t="shared" si="27"/>
        <v>831.11916286131805</v>
      </c>
      <c r="P76" s="5">
        <f t="shared" si="27"/>
        <v>549.79175775898466</v>
      </c>
      <c r="Q76" s="5">
        <f t="shared" si="27"/>
        <v>373.8583952761096</v>
      </c>
      <c r="R76" s="5">
        <f t="shared" si="27"/>
        <v>317.2194707975425</v>
      </c>
      <c r="S76" s="5">
        <f t="shared" si="27"/>
        <v>546.47226035364747</v>
      </c>
      <c r="T76" s="107">
        <f t="shared" si="27"/>
        <v>640.6629992300924</v>
      </c>
      <c r="U76" s="107">
        <f t="shared" si="27"/>
        <v>335.06176935123028</v>
      </c>
      <c r="V76" s="107">
        <f t="shared" si="27"/>
        <v>64.315262228409537</v>
      </c>
      <c r="W76" s="107">
        <f t="shared" si="27"/>
        <v>0</v>
      </c>
      <c r="X76" s="5">
        <f t="shared" si="27"/>
        <v>0</v>
      </c>
      <c r="Y76" s="5">
        <f t="shared" si="20"/>
        <v>103028.14000000001</v>
      </c>
    </row>
    <row r="77" spans="1:26" x14ac:dyDescent="0.2">
      <c r="A77" s="1">
        <v>24</v>
      </c>
      <c r="B77" s="107">
        <v>24068.68</v>
      </c>
      <c r="C77" s="5">
        <f t="shared" si="26"/>
        <v>512.66288399999996</v>
      </c>
      <c r="D77" s="5">
        <f t="shared" si="26"/>
        <v>178.10823199999999</v>
      </c>
      <c r="E77" s="5">
        <f t="shared" si="26"/>
        <v>329.74091599999997</v>
      </c>
      <c r="F77" s="5">
        <f t="shared" si="26"/>
        <v>512.66288399999996</v>
      </c>
      <c r="G77" s="5">
        <f t="shared" si="26"/>
        <v>531.91782799999999</v>
      </c>
      <c r="H77" s="5">
        <f t="shared" si="26"/>
        <v>19254.944</v>
      </c>
      <c r="I77" s="5">
        <f t="shared" si="26"/>
        <v>0</v>
      </c>
      <c r="J77" s="5">
        <f t="shared" si="26"/>
        <v>0</v>
      </c>
      <c r="K77" s="5"/>
      <c r="L77" s="5"/>
      <c r="M77" s="5">
        <f t="shared" si="27"/>
        <v>1391.1697039999999</v>
      </c>
      <c r="N77" s="5">
        <f t="shared" si="27"/>
        <v>134.78460799999999</v>
      </c>
      <c r="O77" s="5">
        <f t="shared" si="27"/>
        <v>276.78981999999996</v>
      </c>
      <c r="P77" s="5">
        <f t="shared" si="27"/>
        <v>182.92196799999999</v>
      </c>
      <c r="Q77" s="5">
        <f t="shared" si="27"/>
        <v>125.15713599999999</v>
      </c>
      <c r="R77" s="5">
        <f t="shared" si="27"/>
        <v>105.90219199999999</v>
      </c>
      <c r="S77" s="5">
        <f t="shared" si="27"/>
        <v>182.92196799999999</v>
      </c>
      <c r="T77" s="107">
        <f t="shared" si="27"/>
        <v>214.21125199999997</v>
      </c>
      <c r="U77" s="107">
        <f t="shared" si="27"/>
        <v>113.12279599999998</v>
      </c>
      <c r="V77" s="107">
        <f t="shared" si="27"/>
        <v>21.661811999999998</v>
      </c>
      <c r="W77" s="107">
        <f t="shared" si="27"/>
        <v>0</v>
      </c>
      <c r="X77" s="5">
        <f t="shared" si="27"/>
        <v>0</v>
      </c>
      <c r="Y77" s="5">
        <f t="shared" si="20"/>
        <v>24068.680000000004</v>
      </c>
    </row>
    <row r="78" spans="1:26" x14ac:dyDescent="0.2">
      <c r="A78" s="1">
        <v>25</v>
      </c>
      <c r="B78" s="5">
        <v>8846.8700000000008</v>
      </c>
      <c r="C78" s="5">
        <f t="shared" si="26"/>
        <v>0</v>
      </c>
      <c r="D78" s="5">
        <f t="shared" si="26"/>
        <v>0</v>
      </c>
      <c r="E78" s="5">
        <f t="shared" si="26"/>
        <v>0</v>
      </c>
      <c r="F78" s="5">
        <f t="shared" si="26"/>
        <v>0</v>
      </c>
      <c r="G78" s="5">
        <f t="shared" si="26"/>
        <v>0</v>
      </c>
      <c r="H78" s="5">
        <f t="shared" si="26"/>
        <v>0</v>
      </c>
      <c r="I78" s="5">
        <f t="shared" si="26"/>
        <v>0</v>
      </c>
      <c r="J78" s="5">
        <f t="shared" si="26"/>
        <v>0</v>
      </c>
      <c r="K78" s="5"/>
      <c r="L78" s="5"/>
      <c r="M78" s="5">
        <f>($B78+B79)/$Y28*M28</f>
        <v>8846.8700000000008</v>
      </c>
      <c r="N78" s="5">
        <f t="shared" si="27"/>
        <v>0</v>
      </c>
      <c r="O78" s="5">
        <f t="shared" si="27"/>
        <v>0</v>
      </c>
      <c r="P78" s="5">
        <f t="shared" si="27"/>
        <v>0</v>
      </c>
      <c r="Q78" s="5">
        <f t="shared" si="27"/>
        <v>0</v>
      </c>
      <c r="R78" s="5">
        <f t="shared" si="27"/>
        <v>0</v>
      </c>
      <c r="S78" s="5">
        <f t="shared" si="27"/>
        <v>0</v>
      </c>
      <c r="T78" s="107">
        <f t="shared" si="27"/>
        <v>0</v>
      </c>
      <c r="U78" s="107">
        <f t="shared" si="27"/>
        <v>0</v>
      </c>
      <c r="V78" s="107">
        <f t="shared" si="27"/>
        <v>0</v>
      </c>
      <c r="W78" s="107">
        <f t="shared" si="27"/>
        <v>0</v>
      </c>
      <c r="X78" s="5">
        <f t="shared" si="27"/>
        <v>0</v>
      </c>
      <c r="Y78" s="5">
        <f t="shared" si="20"/>
        <v>8846.8700000000008</v>
      </c>
    </row>
    <row r="79" spans="1:26" x14ac:dyDescent="0.2">
      <c r="B79" s="5">
        <f>K102</f>
        <v>0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107"/>
      <c r="U79" s="107"/>
      <c r="V79" s="107"/>
      <c r="W79" s="107"/>
      <c r="X79" s="5"/>
      <c r="Y79" s="5">
        <f>SUM(C79:X79)</f>
        <v>0</v>
      </c>
    </row>
    <row r="80" spans="1:26" x14ac:dyDescent="0.2">
      <c r="A80" s="1">
        <v>26</v>
      </c>
      <c r="B80" s="5">
        <v>44647.37</v>
      </c>
      <c r="C80" s="5">
        <f t="shared" ref="C80:J82" si="28">$B80/$Y29*C29</f>
        <v>0</v>
      </c>
      <c r="D80" s="5">
        <f t="shared" si="28"/>
        <v>0</v>
      </c>
      <c r="E80" s="5">
        <f t="shared" si="28"/>
        <v>0</v>
      </c>
      <c r="F80" s="5">
        <f t="shared" si="28"/>
        <v>0</v>
      </c>
      <c r="G80" s="5">
        <f t="shared" si="28"/>
        <v>0</v>
      </c>
      <c r="H80" s="5">
        <f t="shared" si="28"/>
        <v>25182.245093038087</v>
      </c>
      <c r="I80" s="5">
        <f t="shared" si="28"/>
        <v>0</v>
      </c>
      <c r="J80" s="5">
        <f t="shared" si="28"/>
        <v>0</v>
      </c>
      <c r="K80" s="5"/>
      <c r="L80" s="5"/>
      <c r="M80" s="5">
        <f t="shared" ref="M80:X82" si="29">$B80/$Y29*M29</f>
        <v>19465.124906961915</v>
      </c>
      <c r="N80" s="5">
        <f t="shared" si="29"/>
        <v>0</v>
      </c>
      <c r="O80" s="5">
        <f t="shared" si="29"/>
        <v>0</v>
      </c>
      <c r="P80" s="5">
        <f t="shared" si="29"/>
        <v>0</v>
      </c>
      <c r="Q80" s="5">
        <f t="shared" si="29"/>
        <v>0</v>
      </c>
      <c r="R80" s="5">
        <f t="shared" si="29"/>
        <v>0</v>
      </c>
      <c r="S80" s="5">
        <f t="shared" si="29"/>
        <v>0</v>
      </c>
      <c r="T80" s="107">
        <f t="shared" si="29"/>
        <v>0</v>
      </c>
      <c r="U80" s="107">
        <f t="shared" si="29"/>
        <v>0</v>
      </c>
      <c r="V80" s="107">
        <f t="shared" si="29"/>
        <v>0</v>
      </c>
      <c r="W80" s="107">
        <f t="shared" si="29"/>
        <v>0</v>
      </c>
      <c r="X80" s="5">
        <f t="shared" si="29"/>
        <v>0</v>
      </c>
      <c r="Y80" s="5">
        <f t="shared" si="20"/>
        <v>44647.37</v>
      </c>
    </row>
    <row r="81" spans="1:25" x14ac:dyDescent="0.2">
      <c r="A81" s="1">
        <v>28</v>
      </c>
      <c r="B81" s="5">
        <v>144399.34</v>
      </c>
      <c r="C81" s="5">
        <f t="shared" si="28"/>
        <v>0</v>
      </c>
      <c r="D81" s="5">
        <f t="shared" si="28"/>
        <v>0</v>
      </c>
      <c r="E81" s="5">
        <f t="shared" si="28"/>
        <v>0</v>
      </c>
      <c r="F81" s="5">
        <f t="shared" si="28"/>
        <v>0</v>
      </c>
      <c r="G81" s="5">
        <f t="shared" si="28"/>
        <v>0</v>
      </c>
      <c r="H81" s="5">
        <f t="shared" si="28"/>
        <v>125228.48352072747</v>
      </c>
      <c r="I81" s="5">
        <f t="shared" si="28"/>
        <v>0</v>
      </c>
      <c r="J81" s="5">
        <f t="shared" si="28"/>
        <v>0</v>
      </c>
      <c r="K81" s="5"/>
      <c r="L81" s="5"/>
      <c r="M81" s="5">
        <f t="shared" si="29"/>
        <v>19170.856479272534</v>
      </c>
      <c r="N81" s="5">
        <f t="shared" si="29"/>
        <v>0</v>
      </c>
      <c r="O81" s="5">
        <f t="shared" si="29"/>
        <v>0</v>
      </c>
      <c r="P81" s="5">
        <f t="shared" si="29"/>
        <v>0</v>
      </c>
      <c r="Q81" s="5">
        <f t="shared" si="29"/>
        <v>0</v>
      </c>
      <c r="R81" s="5">
        <f t="shared" si="29"/>
        <v>0</v>
      </c>
      <c r="S81" s="5">
        <f t="shared" si="29"/>
        <v>0</v>
      </c>
      <c r="T81" s="107">
        <f t="shared" si="29"/>
        <v>0</v>
      </c>
      <c r="U81" s="107">
        <f t="shared" si="29"/>
        <v>0</v>
      </c>
      <c r="V81" s="107">
        <f t="shared" si="29"/>
        <v>0</v>
      </c>
      <c r="W81" s="107">
        <f t="shared" si="29"/>
        <v>0</v>
      </c>
      <c r="X81" s="5">
        <f t="shared" si="29"/>
        <v>0</v>
      </c>
      <c r="Y81" s="5">
        <f t="shared" si="20"/>
        <v>144399.34</v>
      </c>
    </row>
    <row r="82" spans="1:25" x14ac:dyDescent="0.2">
      <c r="A82" s="4">
        <v>291</v>
      </c>
      <c r="B82" s="107">
        <v>220781.76</v>
      </c>
      <c r="C82" s="5">
        <f t="shared" si="28"/>
        <v>0</v>
      </c>
      <c r="D82" s="5">
        <f t="shared" si="28"/>
        <v>0</v>
      </c>
      <c r="E82" s="5">
        <f t="shared" si="28"/>
        <v>0</v>
      </c>
      <c r="F82" s="5">
        <f t="shared" si="28"/>
        <v>0</v>
      </c>
      <c r="G82" s="5">
        <f t="shared" si="28"/>
        <v>0</v>
      </c>
      <c r="H82" s="5">
        <f t="shared" si="28"/>
        <v>0</v>
      </c>
      <c r="I82" s="5">
        <f t="shared" si="28"/>
        <v>0</v>
      </c>
      <c r="J82" s="5">
        <f t="shared" si="28"/>
        <v>0</v>
      </c>
      <c r="K82" s="5"/>
      <c r="L82" s="5"/>
      <c r="M82" s="5">
        <f t="shared" si="29"/>
        <v>0</v>
      </c>
      <c r="N82" s="5">
        <f t="shared" si="29"/>
        <v>24084.35215073709</v>
      </c>
      <c r="O82" s="5">
        <f t="shared" si="29"/>
        <v>44927.46080249927</v>
      </c>
      <c r="P82" s="5">
        <f t="shared" si="29"/>
        <v>31281.726880796643</v>
      </c>
      <c r="Q82" s="5">
        <f t="shared" si="29"/>
        <v>14745.906625012205</v>
      </c>
      <c r="R82" s="5">
        <f t="shared" si="29"/>
        <v>13987.011984770088</v>
      </c>
      <c r="S82" s="5">
        <f t="shared" si="29"/>
        <v>29552.884061310164</v>
      </c>
      <c r="T82" s="107">
        <f t="shared" si="29"/>
        <v>62202.417494874557</v>
      </c>
      <c r="U82" s="107">
        <f t="shared" si="29"/>
        <v>0</v>
      </c>
      <c r="V82" s="107">
        <f t="shared" si="29"/>
        <v>0</v>
      </c>
      <c r="W82" s="107">
        <f t="shared" si="29"/>
        <v>0</v>
      </c>
      <c r="X82" s="5">
        <f t="shared" si="29"/>
        <v>0</v>
      </c>
      <c r="Y82" s="5">
        <f t="shared" si="20"/>
        <v>220781.76000000004</v>
      </c>
    </row>
    <row r="83" spans="1:25" x14ac:dyDescent="0.2">
      <c r="A83" s="4">
        <v>291</v>
      </c>
      <c r="B83" s="107"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107"/>
      <c r="U83" s="107"/>
      <c r="V83" s="107"/>
      <c r="W83" s="107"/>
      <c r="X83" s="5"/>
      <c r="Y83" s="5"/>
    </row>
    <row r="84" spans="1:25" x14ac:dyDescent="0.2">
      <c r="A84" s="1">
        <v>30</v>
      </c>
      <c r="B84" s="5">
        <v>54413.41</v>
      </c>
      <c r="C84" s="5">
        <f t="shared" ref="C84:J88" si="30">$B84/$Y32*C32</f>
        <v>0</v>
      </c>
      <c r="D84" s="5">
        <f t="shared" si="30"/>
        <v>0</v>
      </c>
      <c r="E84" s="5">
        <f t="shared" si="30"/>
        <v>0</v>
      </c>
      <c r="F84" s="5">
        <f t="shared" si="30"/>
        <v>0</v>
      </c>
      <c r="G84" s="5">
        <f t="shared" si="30"/>
        <v>0</v>
      </c>
      <c r="H84" s="5">
        <f t="shared" si="30"/>
        <v>0</v>
      </c>
      <c r="I84" s="5">
        <f t="shared" si="30"/>
        <v>0</v>
      </c>
      <c r="J84" s="5">
        <f t="shared" si="30"/>
        <v>0</v>
      </c>
      <c r="K84" s="5"/>
      <c r="L84" s="5"/>
      <c r="M84" s="5">
        <f t="shared" ref="M84:X87" si="31">$B84/$Y32*M32</f>
        <v>0</v>
      </c>
      <c r="N84" s="5">
        <f t="shared" si="31"/>
        <v>12275.462709714951</v>
      </c>
      <c r="O84" s="5">
        <f t="shared" si="31"/>
        <v>25361.27055962769</v>
      </c>
      <c r="P84" s="5">
        <f t="shared" si="31"/>
        <v>16776.67673065736</v>
      </c>
      <c r="Q84" s="5">
        <f t="shared" si="31"/>
        <v>0</v>
      </c>
      <c r="R84" s="5">
        <f t="shared" si="31"/>
        <v>0</v>
      </c>
      <c r="S84" s="5">
        <f t="shared" si="31"/>
        <v>0</v>
      </c>
      <c r="T84" s="107">
        <f t="shared" si="31"/>
        <v>0</v>
      </c>
      <c r="U84" s="107">
        <f t="shared" si="31"/>
        <v>0</v>
      </c>
      <c r="V84" s="107">
        <f t="shared" si="31"/>
        <v>0</v>
      </c>
      <c r="W84" s="107">
        <f t="shared" si="31"/>
        <v>0</v>
      </c>
      <c r="X84" s="5">
        <f t="shared" si="31"/>
        <v>0</v>
      </c>
      <c r="Y84" s="5">
        <f t="shared" si="20"/>
        <v>54413.41</v>
      </c>
    </row>
    <row r="85" spans="1:25" x14ac:dyDescent="0.2">
      <c r="A85" s="1">
        <v>31</v>
      </c>
      <c r="B85" s="5">
        <v>40231.800000000003</v>
      </c>
      <c r="C85" s="5">
        <f t="shared" si="30"/>
        <v>0</v>
      </c>
      <c r="D85" s="5">
        <f t="shared" si="30"/>
        <v>0</v>
      </c>
      <c r="E85" s="5">
        <f t="shared" si="30"/>
        <v>0</v>
      </c>
      <c r="F85" s="5">
        <f t="shared" si="30"/>
        <v>0</v>
      </c>
      <c r="G85" s="5">
        <f t="shared" si="30"/>
        <v>0</v>
      </c>
      <c r="H85" s="5">
        <f t="shared" si="30"/>
        <v>0</v>
      </c>
      <c r="I85" s="5">
        <f t="shared" si="30"/>
        <v>0</v>
      </c>
      <c r="J85" s="5">
        <f t="shared" si="30"/>
        <v>0</v>
      </c>
      <c r="K85" s="5"/>
      <c r="L85" s="5"/>
      <c r="M85" s="5">
        <f t="shared" si="31"/>
        <v>0</v>
      </c>
      <c r="N85" s="5">
        <f t="shared" si="31"/>
        <v>0</v>
      </c>
      <c r="O85" s="5">
        <f t="shared" si="31"/>
        <v>0</v>
      </c>
      <c r="P85" s="5">
        <f t="shared" si="31"/>
        <v>0</v>
      </c>
      <c r="Q85" s="5">
        <f t="shared" si="31"/>
        <v>12153.848046940486</v>
      </c>
      <c r="R85" s="5">
        <f t="shared" si="31"/>
        <v>10312.560301760268</v>
      </c>
      <c r="S85" s="5">
        <f t="shared" si="31"/>
        <v>17765.391651299247</v>
      </c>
      <c r="T85" s="107">
        <f t="shared" si="31"/>
        <v>0</v>
      </c>
      <c r="U85" s="107">
        <f t="shared" si="31"/>
        <v>0</v>
      </c>
      <c r="V85" s="107">
        <f t="shared" si="31"/>
        <v>0</v>
      </c>
      <c r="W85" s="107">
        <f t="shared" si="31"/>
        <v>0</v>
      </c>
      <c r="X85" s="5">
        <f t="shared" si="31"/>
        <v>0</v>
      </c>
      <c r="Y85" s="5">
        <f t="shared" si="20"/>
        <v>40231.800000000003</v>
      </c>
    </row>
    <row r="86" spans="1:25" x14ac:dyDescent="0.2">
      <c r="A86" s="1">
        <v>32</v>
      </c>
      <c r="B86" s="5">
        <v>36987.15</v>
      </c>
      <c r="C86" s="5">
        <f t="shared" si="30"/>
        <v>0</v>
      </c>
      <c r="D86" s="5">
        <f t="shared" si="30"/>
        <v>0</v>
      </c>
      <c r="E86" s="5">
        <f t="shared" si="30"/>
        <v>0</v>
      </c>
      <c r="F86" s="5">
        <f t="shared" si="30"/>
        <v>0</v>
      </c>
      <c r="G86" s="5">
        <f t="shared" si="30"/>
        <v>0</v>
      </c>
      <c r="H86" s="5">
        <f t="shared" si="30"/>
        <v>0</v>
      </c>
      <c r="I86" s="5">
        <f t="shared" si="30"/>
        <v>0</v>
      </c>
      <c r="J86" s="5">
        <f t="shared" si="30"/>
        <v>0</v>
      </c>
      <c r="K86" s="5"/>
      <c r="L86" s="5"/>
      <c r="M86" s="5">
        <f t="shared" si="31"/>
        <v>0</v>
      </c>
      <c r="N86" s="5">
        <f t="shared" si="31"/>
        <v>0</v>
      </c>
      <c r="O86" s="5">
        <f t="shared" si="31"/>
        <v>0</v>
      </c>
      <c r="P86" s="5">
        <f t="shared" si="31"/>
        <v>0</v>
      </c>
      <c r="Q86" s="5">
        <f t="shared" si="31"/>
        <v>0</v>
      </c>
      <c r="R86" s="5">
        <f t="shared" si="31"/>
        <v>0</v>
      </c>
      <c r="S86" s="5">
        <f t="shared" si="31"/>
        <v>0</v>
      </c>
      <c r="T86" s="107">
        <f t="shared" si="31"/>
        <v>22784.025374027529</v>
      </c>
      <c r="U86" s="107">
        <f t="shared" si="31"/>
        <v>11915.868192698983</v>
      </c>
      <c r="V86" s="107">
        <f t="shared" si="31"/>
        <v>2287.2564332734892</v>
      </c>
      <c r="W86" s="107">
        <f t="shared" si="31"/>
        <v>0</v>
      </c>
      <c r="X86" s="5">
        <f t="shared" si="31"/>
        <v>0</v>
      </c>
      <c r="Y86" s="5">
        <f t="shared" si="20"/>
        <v>36987.15</v>
      </c>
    </row>
    <row r="87" spans="1:25" x14ac:dyDescent="0.2">
      <c r="A87" s="1">
        <v>33</v>
      </c>
      <c r="B87" s="5">
        <v>0</v>
      </c>
      <c r="C87" s="5">
        <f t="shared" si="30"/>
        <v>0</v>
      </c>
      <c r="D87" s="5">
        <f t="shared" si="30"/>
        <v>0</v>
      </c>
      <c r="E87" s="5">
        <f t="shared" si="30"/>
        <v>0</v>
      </c>
      <c r="F87" s="5">
        <f t="shared" si="30"/>
        <v>0</v>
      </c>
      <c r="G87" s="5">
        <f t="shared" si="30"/>
        <v>0</v>
      </c>
      <c r="H87" s="5">
        <f t="shared" si="30"/>
        <v>0</v>
      </c>
      <c r="I87" s="5">
        <f t="shared" si="30"/>
        <v>0</v>
      </c>
      <c r="J87" s="5">
        <f t="shared" si="30"/>
        <v>0</v>
      </c>
      <c r="K87" s="5"/>
      <c r="L87" s="5"/>
      <c r="M87" s="5">
        <f t="shared" si="31"/>
        <v>0</v>
      </c>
      <c r="N87" s="5">
        <f t="shared" si="31"/>
        <v>0</v>
      </c>
      <c r="O87" s="5">
        <f t="shared" si="31"/>
        <v>0</v>
      </c>
      <c r="P87" s="5">
        <f t="shared" si="31"/>
        <v>0</v>
      </c>
      <c r="Q87" s="5">
        <f t="shared" si="31"/>
        <v>0</v>
      </c>
      <c r="R87" s="5">
        <f t="shared" si="31"/>
        <v>0</v>
      </c>
      <c r="S87" s="5">
        <f t="shared" si="31"/>
        <v>0</v>
      </c>
      <c r="T87" s="107">
        <f t="shared" si="31"/>
        <v>0</v>
      </c>
      <c r="U87" s="107">
        <f t="shared" si="31"/>
        <v>0</v>
      </c>
      <c r="V87" s="107">
        <f t="shared" si="31"/>
        <v>0</v>
      </c>
      <c r="W87" s="107">
        <f t="shared" si="31"/>
        <v>0</v>
      </c>
      <c r="X87" s="5">
        <f t="shared" si="31"/>
        <v>0</v>
      </c>
      <c r="Y87" s="5">
        <f t="shared" si="20"/>
        <v>0</v>
      </c>
    </row>
    <row r="88" spans="1:25" x14ac:dyDescent="0.2">
      <c r="A88" s="1">
        <v>36</v>
      </c>
      <c r="B88" s="5">
        <v>1016.44</v>
      </c>
      <c r="C88" s="5">
        <f>($B88+B89)/$Y36*C36</f>
        <v>118.70832116788321</v>
      </c>
      <c r="D88" s="5">
        <f t="shared" si="30"/>
        <v>0</v>
      </c>
      <c r="E88" s="5">
        <f t="shared" si="30"/>
        <v>0</v>
      </c>
      <c r="F88" s="5">
        <f t="shared" si="30"/>
        <v>0</v>
      </c>
      <c r="G88" s="5">
        <f t="shared" si="30"/>
        <v>0</v>
      </c>
      <c r="H88" s="5">
        <f t="shared" si="30"/>
        <v>0</v>
      </c>
      <c r="I88" s="5">
        <f t="shared" si="30"/>
        <v>0</v>
      </c>
      <c r="J88" s="5">
        <f t="shared" si="30"/>
        <v>0</v>
      </c>
      <c r="K88" s="5"/>
      <c r="L88" s="5"/>
      <c r="M88" s="5">
        <f>$B88/$Y36*M36</f>
        <v>0</v>
      </c>
      <c r="N88" s="5">
        <f>($B88+B89)/$Y36*N36</f>
        <v>252.25518248175183</v>
      </c>
      <c r="O88" s="5">
        <f>($B88+B89)/$Y36*O36</f>
        <v>148.38540145985402</v>
      </c>
      <c r="P88" s="5">
        <f>($B88+B89)/$Y36*P36</f>
        <v>103.86978102189781</v>
      </c>
      <c r="Q88" s="5">
        <f>($B88+B89)/$Y36*Q36</f>
        <v>111.28905109489051</v>
      </c>
      <c r="R88" s="5">
        <f>($B88+B89)/$Y36*R36</f>
        <v>118.70832116788321</v>
      </c>
      <c r="S88" s="5">
        <f>($B88+B89)/$Y36*S36</f>
        <v>163.22394160583943</v>
      </c>
      <c r="T88" s="107">
        <f>($B88+B89)/$Y36*T36</f>
        <v>0</v>
      </c>
      <c r="U88" s="107">
        <f>$B88/$Y36*U36</f>
        <v>0</v>
      </c>
      <c r="V88" s="107">
        <f>$B88/$Y36*V36</f>
        <v>0</v>
      </c>
      <c r="W88" s="107">
        <f>$B88/$Y36*W36</f>
        <v>0</v>
      </c>
      <c r="X88" s="5">
        <f>$B88/$Y36*X36</f>
        <v>0</v>
      </c>
      <c r="Y88" s="5">
        <f t="shared" si="20"/>
        <v>1016.44</v>
      </c>
    </row>
    <row r="89" spans="1:25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107"/>
      <c r="U89" s="107"/>
      <c r="V89" s="107"/>
      <c r="W89" s="107"/>
      <c r="X89" s="5"/>
      <c r="Y89" s="5"/>
    </row>
    <row r="90" spans="1:25" x14ac:dyDescent="0.2">
      <c r="A90" s="1">
        <v>37</v>
      </c>
      <c r="B90" s="5">
        <v>0</v>
      </c>
      <c r="C90" s="5">
        <f t="shared" ref="C90:J90" si="32">$B90/$Y37*C37</f>
        <v>0</v>
      </c>
      <c r="D90" s="5">
        <f t="shared" si="32"/>
        <v>0</v>
      </c>
      <c r="E90" s="5">
        <f t="shared" si="32"/>
        <v>0</v>
      </c>
      <c r="F90" s="5">
        <f t="shared" si="32"/>
        <v>0</v>
      </c>
      <c r="G90" s="5">
        <f t="shared" si="32"/>
        <v>0</v>
      </c>
      <c r="H90" s="5">
        <f t="shared" si="32"/>
        <v>0</v>
      </c>
      <c r="I90" s="5">
        <f t="shared" si="32"/>
        <v>0</v>
      </c>
      <c r="J90" s="5">
        <f t="shared" si="32"/>
        <v>0</v>
      </c>
      <c r="K90" s="5"/>
      <c r="L90" s="5"/>
      <c r="M90" s="5">
        <f t="shared" ref="M90:X90" si="33">$B90/$Y37*M37</f>
        <v>0</v>
      </c>
      <c r="N90" s="5">
        <f t="shared" si="33"/>
        <v>0</v>
      </c>
      <c r="O90" s="5">
        <f t="shared" si="33"/>
        <v>0</v>
      </c>
      <c r="P90" s="5">
        <f t="shared" si="33"/>
        <v>0</v>
      </c>
      <c r="Q90" s="5">
        <f t="shared" si="33"/>
        <v>0</v>
      </c>
      <c r="R90" s="5">
        <f t="shared" si="33"/>
        <v>0</v>
      </c>
      <c r="S90" s="5">
        <f t="shared" si="33"/>
        <v>0</v>
      </c>
      <c r="T90" s="107">
        <f t="shared" si="33"/>
        <v>0</v>
      </c>
      <c r="U90" s="107">
        <f t="shared" si="33"/>
        <v>0</v>
      </c>
      <c r="V90" s="107">
        <f t="shared" si="33"/>
        <v>0</v>
      </c>
      <c r="W90" s="107">
        <f t="shared" si="33"/>
        <v>0</v>
      </c>
      <c r="X90" s="5">
        <f t="shared" si="33"/>
        <v>0</v>
      </c>
      <c r="Y90" s="5">
        <f t="shared" ref="Y90:Y106" si="34">SUM(C90:X90)</f>
        <v>0</v>
      </c>
    </row>
    <row r="91" spans="1:25" x14ac:dyDescent="0.2">
      <c r="A91" s="1">
        <v>38</v>
      </c>
      <c r="B91" s="5">
        <v>0</v>
      </c>
      <c r="C91" s="5">
        <f t="shared" ref="C91:J91" si="35">$B91/$Y39*C39</f>
        <v>0</v>
      </c>
      <c r="D91" s="5">
        <f t="shared" si="35"/>
        <v>0</v>
      </c>
      <c r="E91" s="5">
        <f t="shared" si="35"/>
        <v>0</v>
      </c>
      <c r="F91" s="5">
        <f t="shared" si="35"/>
        <v>0</v>
      </c>
      <c r="G91" s="5">
        <f t="shared" si="35"/>
        <v>0</v>
      </c>
      <c r="H91" s="5">
        <f t="shared" si="35"/>
        <v>0</v>
      </c>
      <c r="I91" s="5">
        <f t="shared" si="35"/>
        <v>0</v>
      </c>
      <c r="J91" s="5">
        <f t="shared" si="35"/>
        <v>0</v>
      </c>
      <c r="K91" s="5"/>
      <c r="L91" s="5"/>
      <c r="M91" s="5">
        <f t="shared" ref="M91:X91" si="36">$B91/$Y39*M39</f>
        <v>0</v>
      </c>
      <c r="N91" s="5">
        <f t="shared" si="36"/>
        <v>0</v>
      </c>
      <c r="O91" s="5">
        <f t="shared" si="36"/>
        <v>0</v>
      </c>
      <c r="P91" s="5">
        <f t="shared" si="36"/>
        <v>0</v>
      </c>
      <c r="Q91" s="5">
        <f t="shared" si="36"/>
        <v>0</v>
      </c>
      <c r="R91" s="5">
        <f t="shared" si="36"/>
        <v>0</v>
      </c>
      <c r="S91" s="5">
        <f t="shared" si="36"/>
        <v>0</v>
      </c>
      <c r="T91" s="107">
        <f t="shared" si="36"/>
        <v>0</v>
      </c>
      <c r="U91" s="107">
        <f t="shared" si="36"/>
        <v>0</v>
      </c>
      <c r="V91" s="107">
        <f t="shared" si="36"/>
        <v>0</v>
      </c>
      <c r="W91" s="107">
        <f t="shared" si="36"/>
        <v>0</v>
      </c>
      <c r="X91" s="5">
        <f t="shared" si="36"/>
        <v>0</v>
      </c>
      <c r="Y91" s="5">
        <f t="shared" si="34"/>
        <v>0</v>
      </c>
    </row>
    <row r="92" spans="1:25" x14ac:dyDescent="0.2">
      <c r="A92" s="1">
        <v>39</v>
      </c>
      <c r="B92" s="107">
        <v>10073.32</v>
      </c>
      <c r="C92" s="5">
        <f t="shared" ref="C92:J92" si="37">($B92+$B93)/$Y40*C40</f>
        <v>0</v>
      </c>
      <c r="D92" s="5">
        <f t="shared" si="37"/>
        <v>0</v>
      </c>
      <c r="E92" s="5">
        <f t="shared" si="37"/>
        <v>0</v>
      </c>
      <c r="F92" s="5">
        <f t="shared" si="37"/>
        <v>0</v>
      </c>
      <c r="G92" s="5">
        <f t="shared" si="37"/>
        <v>0</v>
      </c>
      <c r="H92" s="5">
        <f t="shared" si="37"/>
        <v>3468.5764409999997</v>
      </c>
      <c r="I92" s="5">
        <f t="shared" si="37"/>
        <v>0</v>
      </c>
      <c r="J92" s="5">
        <f t="shared" si="37"/>
        <v>0</v>
      </c>
      <c r="K92" s="5"/>
      <c r="L92" s="5"/>
      <c r="M92" s="5">
        <f t="shared" ref="M92:X92" si="38">($B92+$B93)/$Y40*M40</f>
        <v>0</v>
      </c>
      <c r="N92" s="5">
        <f t="shared" si="38"/>
        <v>0</v>
      </c>
      <c r="O92" s="5">
        <f t="shared" si="38"/>
        <v>0</v>
      </c>
      <c r="P92" s="5">
        <f t="shared" si="38"/>
        <v>0</v>
      </c>
      <c r="Q92" s="5">
        <f t="shared" si="38"/>
        <v>0</v>
      </c>
      <c r="R92" s="5">
        <f t="shared" si="38"/>
        <v>0</v>
      </c>
      <c r="S92" s="5">
        <f t="shared" si="38"/>
        <v>0</v>
      </c>
      <c r="T92" s="107">
        <f t="shared" si="38"/>
        <v>0</v>
      </c>
      <c r="U92" s="107">
        <f t="shared" si="38"/>
        <v>0</v>
      </c>
      <c r="V92" s="107">
        <f t="shared" si="38"/>
        <v>6938.1935590000003</v>
      </c>
      <c r="W92" s="107">
        <f t="shared" si="38"/>
        <v>0</v>
      </c>
      <c r="X92" s="5">
        <f t="shared" si="38"/>
        <v>0</v>
      </c>
      <c r="Y92" s="5">
        <f t="shared" si="34"/>
        <v>10406.77</v>
      </c>
    </row>
    <row r="93" spans="1:25" x14ac:dyDescent="0.2">
      <c r="B93" s="107">
        <f>-J104</f>
        <v>333.45</v>
      </c>
      <c r="C93" s="5" t="s">
        <v>133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107"/>
      <c r="U93" s="107"/>
      <c r="V93" s="107"/>
      <c r="W93" s="107"/>
      <c r="X93" s="5"/>
      <c r="Y93" s="5">
        <f t="shared" si="34"/>
        <v>0</v>
      </c>
    </row>
    <row r="94" spans="1:25" x14ac:dyDescent="0.2">
      <c r="A94" s="1">
        <v>40</v>
      </c>
      <c r="B94" s="5">
        <v>4554.38</v>
      </c>
      <c r="C94" s="5">
        <f t="shared" ref="C94:J95" si="39">$B94/$Y41*C41</f>
        <v>0</v>
      </c>
      <c r="D94" s="5">
        <f t="shared" si="39"/>
        <v>0</v>
      </c>
      <c r="E94" s="5">
        <f t="shared" si="39"/>
        <v>0</v>
      </c>
      <c r="F94" s="5">
        <f t="shared" si="39"/>
        <v>0</v>
      </c>
      <c r="G94" s="5">
        <f t="shared" si="39"/>
        <v>0</v>
      </c>
      <c r="H94" s="5">
        <f t="shared" si="39"/>
        <v>4554.38</v>
      </c>
      <c r="I94" s="5">
        <f t="shared" si="39"/>
        <v>0</v>
      </c>
      <c r="J94" s="5">
        <f t="shared" si="39"/>
        <v>0</v>
      </c>
      <c r="K94" s="5"/>
      <c r="L94" s="5"/>
      <c r="M94" s="5">
        <f t="shared" ref="M94:X95" si="40">$B94/$Y41*M41</f>
        <v>0</v>
      </c>
      <c r="N94" s="5">
        <f t="shared" si="40"/>
        <v>0</v>
      </c>
      <c r="O94" s="5">
        <f t="shared" si="40"/>
        <v>0</v>
      </c>
      <c r="P94" s="5">
        <f t="shared" si="40"/>
        <v>0</v>
      </c>
      <c r="Q94" s="5">
        <f t="shared" si="40"/>
        <v>0</v>
      </c>
      <c r="R94" s="5">
        <f t="shared" si="40"/>
        <v>0</v>
      </c>
      <c r="S94" s="5">
        <f t="shared" si="40"/>
        <v>0</v>
      </c>
      <c r="T94" s="107">
        <f t="shared" si="40"/>
        <v>0</v>
      </c>
      <c r="U94" s="107">
        <f t="shared" si="40"/>
        <v>0</v>
      </c>
      <c r="V94" s="107">
        <f t="shared" si="40"/>
        <v>0</v>
      </c>
      <c r="W94" s="107">
        <f t="shared" si="40"/>
        <v>0</v>
      </c>
      <c r="X94" s="5">
        <f t="shared" si="40"/>
        <v>0</v>
      </c>
      <c r="Y94" s="5">
        <f t="shared" si="34"/>
        <v>4554.38</v>
      </c>
    </row>
    <row r="95" spans="1:25" x14ac:dyDescent="0.2">
      <c r="A95" s="1">
        <v>41</v>
      </c>
      <c r="B95" s="5">
        <v>30741.87</v>
      </c>
      <c r="C95" s="5">
        <f t="shared" si="39"/>
        <v>0</v>
      </c>
      <c r="D95" s="5">
        <f t="shared" si="39"/>
        <v>0</v>
      </c>
      <c r="E95" s="5">
        <f t="shared" si="39"/>
        <v>0</v>
      </c>
      <c r="F95" s="5">
        <f t="shared" si="39"/>
        <v>0</v>
      </c>
      <c r="G95" s="5">
        <f t="shared" si="39"/>
        <v>0</v>
      </c>
      <c r="H95" s="5">
        <f t="shared" si="39"/>
        <v>30741.869999999995</v>
      </c>
      <c r="I95" s="5">
        <f t="shared" si="39"/>
        <v>0</v>
      </c>
      <c r="J95" s="5">
        <f t="shared" si="39"/>
        <v>0</v>
      </c>
      <c r="K95" s="5"/>
      <c r="L95" s="5"/>
      <c r="M95" s="5">
        <f t="shared" si="40"/>
        <v>0</v>
      </c>
      <c r="N95" s="5">
        <f t="shared" si="40"/>
        <v>0</v>
      </c>
      <c r="O95" s="5">
        <f t="shared" si="40"/>
        <v>0</v>
      </c>
      <c r="P95" s="5">
        <f t="shared" si="40"/>
        <v>0</v>
      </c>
      <c r="Q95" s="5">
        <f t="shared" si="40"/>
        <v>0</v>
      </c>
      <c r="R95" s="5">
        <f t="shared" si="40"/>
        <v>0</v>
      </c>
      <c r="S95" s="5">
        <f t="shared" si="40"/>
        <v>0</v>
      </c>
      <c r="T95" s="107">
        <f t="shared" si="40"/>
        <v>0</v>
      </c>
      <c r="U95" s="107">
        <f t="shared" si="40"/>
        <v>0</v>
      </c>
      <c r="V95" s="107">
        <f t="shared" si="40"/>
        <v>0</v>
      </c>
      <c r="W95" s="107">
        <f t="shared" si="40"/>
        <v>0</v>
      </c>
      <c r="X95" s="5">
        <f t="shared" si="40"/>
        <v>0</v>
      </c>
      <c r="Y95" s="5">
        <f t="shared" si="34"/>
        <v>30741.869999999995</v>
      </c>
    </row>
    <row r="96" spans="1:25" x14ac:dyDescent="0.2">
      <c r="A96" s="1">
        <v>42</v>
      </c>
      <c r="B96" s="5">
        <v>885.6</v>
      </c>
      <c r="C96" s="5">
        <f t="shared" ref="C96:J97" si="41">$B96/$Y44*C44</f>
        <v>0</v>
      </c>
      <c r="D96" s="5">
        <f t="shared" si="41"/>
        <v>0</v>
      </c>
      <c r="E96" s="5">
        <f t="shared" si="41"/>
        <v>0</v>
      </c>
      <c r="F96" s="5">
        <f t="shared" si="41"/>
        <v>0</v>
      </c>
      <c r="G96" s="5">
        <f t="shared" si="41"/>
        <v>0</v>
      </c>
      <c r="H96" s="5">
        <f t="shared" si="41"/>
        <v>0</v>
      </c>
      <c r="I96" s="5">
        <f t="shared" si="41"/>
        <v>0</v>
      </c>
      <c r="J96" s="5">
        <f t="shared" si="41"/>
        <v>0</v>
      </c>
      <c r="K96" s="5"/>
      <c r="L96" s="5"/>
      <c r="M96" s="5">
        <f t="shared" ref="M96:X97" si="42">$B96/$Y44*M44</f>
        <v>0</v>
      </c>
      <c r="N96" s="5">
        <f t="shared" si="42"/>
        <v>165.16095027411754</v>
      </c>
      <c r="O96" s="5">
        <f t="shared" si="42"/>
        <v>341.224737905165</v>
      </c>
      <c r="P96" s="5">
        <f t="shared" si="42"/>
        <v>225.72280465518901</v>
      </c>
      <c r="Q96" s="5">
        <f t="shared" si="42"/>
        <v>153.49150716552853</v>
      </c>
      <c r="R96" s="5">
        <f t="shared" si="42"/>
        <v>0</v>
      </c>
      <c r="S96" s="5">
        <f t="shared" si="42"/>
        <v>0</v>
      </c>
      <c r="T96" s="107">
        <f t="shared" si="42"/>
        <v>0</v>
      </c>
      <c r="U96" s="107">
        <f t="shared" si="42"/>
        <v>0</v>
      </c>
      <c r="V96" s="107">
        <f t="shared" si="42"/>
        <v>0</v>
      </c>
      <c r="W96" s="107">
        <f t="shared" si="42"/>
        <v>0</v>
      </c>
      <c r="X96" s="5">
        <f t="shared" si="42"/>
        <v>0</v>
      </c>
      <c r="Y96" s="5">
        <f t="shared" si="34"/>
        <v>885.6</v>
      </c>
    </row>
    <row r="97" spans="1:25" x14ac:dyDescent="0.2">
      <c r="A97" s="1">
        <v>43</v>
      </c>
      <c r="B97" s="5">
        <v>0</v>
      </c>
      <c r="C97" s="5">
        <f t="shared" si="41"/>
        <v>0</v>
      </c>
      <c r="D97" s="5">
        <f t="shared" si="41"/>
        <v>0</v>
      </c>
      <c r="E97" s="5">
        <f t="shared" si="41"/>
        <v>0</v>
      </c>
      <c r="F97" s="5">
        <f t="shared" si="41"/>
        <v>0</v>
      </c>
      <c r="G97" s="5">
        <f t="shared" si="41"/>
        <v>0</v>
      </c>
      <c r="H97" s="5">
        <f t="shared" si="41"/>
        <v>0</v>
      </c>
      <c r="I97" s="5">
        <f t="shared" si="41"/>
        <v>0</v>
      </c>
      <c r="J97" s="5">
        <f t="shared" si="41"/>
        <v>0</v>
      </c>
      <c r="K97" s="5"/>
      <c r="L97" s="5"/>
      <c r="M97" s="5">
        <f t="shared" si="42"/>
        <v>0</v>
      </c>
      <c r="N97" s="5">
        <f t="shared" si="42"/>
        <v>0</v>
      </c>
      <c r="O97" s="5">
        <f t="shared" si="42"/>
        <v>0</v>
      </c>
      <c r="P97" s="5">
        <f t="shared" si="42"/>
        <v>0</v>
      </c>
      <c r="Q97" s="5">
        <f t="shared" si="42"/>
        <v>0</v>
      </c>
      <c r="R97" s="5">
        <f t="shared" si="42"/>
        <v>0</v>
      </c>
      <c r="S97" s="5">
        <f t="shared" si="42"/>
        <v>0</v>
      </c>
      <c r="T97" s="107">
        <f t="shared" si="42"/>
        <v>0</v>
      </c>
      <c r="U97" s="107">
        <f t="shared" si="42"/>
        <v>0</v>
      </c>
      <c r="V97" s="107">
        <f t="shared" si="42"/>
        <v>0</v>
      </c>
      <c r="W97" s="107">
        <f t="shared" si="42"/>
        <v>0</v>
      </c>
      <c r="X97" s="5">
        <f t="shared" si="42"/>
        <v>0</v>
      </c>
      <c r="Y97" s="5">
        <f t="shared" si="34"/>
        <v>0</v>
      </c>
    </row>
    <row r="98" spans="1:25" x14ac:dyDescent="0.2">
      <c r="A98" s="1">
        <v>44</v>
      </c>
      <c r="B98" s="107">
        <v>13524.27</v>
      </c>
      <c r="C98" s="5">
        <f t="shared" ref="C98:J98" si="43">($B98+$B99)/$Y46*C46</f>
        <v>0</v>
      </c>
      <c r="D98" s="5">
        <f t="shared" si="43"/>
        <v>0</v>
      </c>
      <c r="E98" s="5">
        <f t="shared" si="43"/>
        <v>0</v>
      </c>
      <c r="F98" s="5">
        <f t="shared" si="43"/>
        <v>0</v>
      </c>
      <c r="G98" s="5">
        <f t="shared" si="43"/>
        <v>0</v>
      </c>
      <c r="H98" s="5">
        <f t="shared" si="43"/>
        <v>8914.1500398958651</v>
      </c>
      <c r="I98" s="5">
        <f t="shared" si="43"/>
        <v>0</v>
      </c>
      <c r="J98" s="5">
        <f t="shared" si="43"/>
        <v>0</v>
      </c>
      <c r="K98" s="5"/>
      <c r="L98" s="5"/>
      <c r="M98" s="5">
        <f t="shared" ref="M98:X98" si="44">($B98+$B99)/$Y46*M46</f>
        <v>0</v>
      </c>
      <c r="N98" s="107">
        <f t="shared" si="44"/>
        <v>0</v>
      </c>
      <c r="O98" s="5">
        <f t="shared" si="44"/>
        <v>978.19769516854308</v>
      </c>
      <c r="P98" s="5">
        <f t="shared" si="44"/>
        <v>647.08534503161241</v>
      </c>
      <c r="Q98" s="5">
        <f t="shared" si="44"/>
        <v>440.01803462149644</v>
      </c>
      <c r="R98" s="5">
        <f t="shared" si="44"/>
        <v>373.60021807485543</v>
      </c>
      <c r="S98" s="5">
        <f t="shared" si="44"/>
        <v>643.17841464651588</v>
      </c>
      <c r="T98" s="107">
        <f t="shared" si="44"/>
        <v>1508.0751286472596</v>
      </c>
      <c r="U98" s="107">
        <f t="shared" si="44"/>
        <v>788.7115714913615</v>
      </c>
      <c r="V98" s="107">
        <f t="shared" si="44"/>
        <v>151.39355242249044</v>
      </c>
      <c r="W98" s="107">
        <f t="shared" si="44"/>
        <v>0</v>
      </c>
      <c r="X98" s="5">
        <f t="shared" si="44"/>
        <v>0</v>
      </c>
      <c r="Y98" s="5">
        <f t="shared" si="34"/>
        <v>14444.409999999998</v>
      </c>
    </row>
    <row r="99" spans="1:25" x14ac:dyDescent="0.2">
      <c r="B99" s="107">
        <f>-I106</f>
        <v>920.14</v>
      </c>
      <c r="C99" s="5" t="s">
        <v>133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107"/>
      <c r="U99" s="107"/>
      <c r="V99" s="107"/>
      <c r="W99" s="107"/>
      <c r="X99" s="5"/>
      <c r="Y99" s="5">
        <f t="shared" si="34"/>
        <v>0</v>
      </c>
    </row>
    <row r="100" spans="1:25" x14ac:dyDescent="0.2">
      <c r="A100" s="1">
        <v>45</v>
      </c>
      <c r="B100" s="5">
        <v>0</v>
      </c>
      <c r="C100" s="5">
        <f t="shared" ref="C100:J101" si="45">$B100/$Y47*C47</f>
        <v>0</v>
      </c>
      <c r="D100" s="5">
        <f t="shared" si="45"/>
        <v>0</v>
      </c>
      <c r="E100" s="5">
        <f t="shared" si="45"/>
        <v>0</v>
      </c>
      <c r="F100" s="5">
        <f t="shared" si="45"/>
        <v>0</v>
      </c>
      <c r="G100" s="5">
        <f t="shared" si="45"/>
        <v>0</v>
      </c>
      <c r="H100" s="5">
        <f t="shared" si="45"/>
        <v>0</v>
      </c>
      <c r="I100" s="5">
        <f t="shared" si="45"/>
        <v>0</v>
      </c>
      <c r="J100" s="5">
        <f t="shared" si="45"/>
        <v>0</v>
      </c>
      <c r="K100" s="5"/>
      <c r="L100" s="5"/>
      <c r="M100" s="5">
        <f t="shared" ref="M100:X101" si="46">$B100/$Y47*M47</f>
        <v>0</v>
      </c>
      <c r="N100" s="5">
        <f t="shared" si="46"/>
        <v>0</v>
      </c>
      <c r="O100" s="5">
        <f t="shared" si="46"/>
        <v>0</v>
      </c>
      <c r="P100" s="5">
        <f t="shared" si="46"/>
        <v>0</v>
      </c>
      <c r="Q100" s="5">
        <f t="shared" si="46"/>
        <v>0</v>
      </c>
      <c r="R100" s="5">
        <f t="shared" si="46"/>
        <v>0</v>
      </c>
      <c r="S100" s="5">
        <f t="shared" si="46"/>
        <v>0</v>
      </c>
      <c r="T100" s="107">
        <f t="shared" si="46"/>
        <v>0</v>
      </c>
      <c r="U100" s="107">
        <f t="shared" si="46"/>
        <v>0</v>
      </c>
      <c r="V100" s="107">
        <f t="shared" si="46"/>
        <v>0</v>
      </c>
      <c r="W100" s="107">
        <f t="shared" si="46"/>
        <v>0</v>
      </c>
      <c r="X100" s="5">
        <f t="shared" si="46"/>
        <v>0</v>
      </c>
      <c r="Y100" s="5">
        <f t="shared" si="34"/>
        <v>0</v>
      </c>
    </row>
    <row r="101" spans="1:25" x14ac:dyDescent="0.2">
      <c r="A101" s="1">
        <v>46</v>
      </c>
      <c r="B101" s="107">
        <v>0</v>
      </c>
      <c r="C101" s="5" t="s">
        <v>133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 t="shared" si="45"/>
        <v>0</v>
      </c>
      <c r="H101" s="5">
        <f t="shared" si="45"/>
        <v>0</v>
      </c>
      <c r="I101" s="5">
        <f t="shared" si="45"/>
        <v>0</v>
      </c>
      <c r="J101" s="5">
        <f t="shared" si="45"/>
        <v>0</v>
      </c>
      <c r="K101" s="5"/>
      <c r="L101" s="5"/>
      <c r="M101" s="5">
        <f t="shared" si="46"/>
        <v>0</v>
      </c>
      <c r="N101" s="5">
        <f t="shared" si="46"/>
        <v>0</v>
      </c>
      <c r="O101" s="5">
        <f t="shared" si="46"/>
        <v>0</v>
      </c>
      <c r="P101" s="5">
        <f t="shared" si="46"/>
        <v>0</v>
      </c>
      <c r="Q101" s="5">
        <f t="shared" si="46"/>
        <v>0</v>
      </c>
      <c r="R101" s="5">
        <f t="shared" si="46"/>
        <v>0</v>
      </c>
      <c r="S101" s="5">
        <f t="shared" si="46"/>
        <v>0</v>
      </c>
      <c r="T101" s="107">
        <f t="shared" si="46"/>
        <v>0</v>
      </c>
      <c r="U101" s="107">
        <f t="shared" si="46"/>
        <v>0</v>
      </c>
      <c r="V101" s="107">
        <f t="shared" si="46"/>
        <v>0</v>
      </c>
      <c r="W101" s="107">
        <f t="shared" si="46"/>
        <v>0</v>
      </c>
      <c r="X101" s="5">
        <f t="shared" si="46"/>
        <v>0</v>
      </c>
      <c r="Y101" s="5">
        <f t="shared" si="34"/>
        <v>0</v>
      </c>
    </row>
    <row r="102" spans="1:25" x14ac:dyDescent="0.2">
      <c r="A102" s="1">
        <v>47</v>
      </c>
      <c r="B102" s="107">
        <v>0</v>
      </c>
      <c r="C102" s="5"/>
      <c r="D102" s="5"/>
      <c r="E102" s="5"/>
      <c r="F102" s="5"/>
      <c r="G102" s="5"/>
      <c r="H102" s="5">
        <f>B102*H49/Y49</f>
        <v>0</v>
      </c>
      <c r="I102" s="5"/>
      <c r="J102" s="5">
        <f>B102*J49/Y49</f>
        <v>0</v>
      </c>
      <c r="K102" s="5">
        <f>B102*K49/Y49</f>
        <v>0</v>
      </c>
      <c r="L102" s="5">
        <f>B102*L49/Y49</f>
        <v>0</v>
      </c>
      <c r="M102" s="5">
        <f>B102*M49/Y49</f>
        <v>0</v>
      </c>
      <c r="N102" s="5"/>
      <c r="O102" s="5"/>
      <c r="P102" s="5"/>
      <c r="Q102" s="5"/>
      <c r="R102" s="5"/>
      <c r="S102" s="5"/>
      <c r="T102" s="107"/>
      <c r="U102" s="107"/>
      <c r="V102" s="107"/>
      <c r="W102" s="107"/>
      <c r="X102" s="5">
        <f>B102*X49/Y49</f>
        <v>0</v>
      </c>
      <c r="Y102" s="5">
        <f t="shared" si="34"/>
        <v>0</v>
      </c>
    </row>
    <row r="103" spans="1:25" x14ac:dyDescent="0.2">
      <c r="A103" s="1">
        <v>48</v>
      </c>
      <c r="B103" s="5">
        <v>0</v>
      </c>
      <c r="C103" s="5">
        <f t="shared" ref="C103:X103" si="47">$B103/$Y50*C50</f>
        <v>0</v>
      </c>
      <c r="D103" s="5">
        <f t="shared" si="47"/>
        <v>0</v>
      </c>
      <c r="E103" s="5">
        <f t="shared" si="47"/>
        <v>0</v>
      </c>
      <c r="F103" s="5">
        <f t="shared" si="47"/>
        <v>0</v>
      </c>
      <c r="G103" s="5">
        <f t="shared" si="47"/>
        <v>0</v>
      </c>
      <c r="H103" s="5">
        <f t="shared" si="47"/>
        <v>0</v>
      </c>
      <c r="I103" s="5">
        <f t="shared" si="47"/>
        <v>0</v>
      </c>
      <c r="J103" s="5">
        <f t="shared" si="47"/>
        <v>0</v>
      </c>
      <c r="K103" s="5">
        <f t="shared" si="47"/>
        <v>0</v>
      </c>
      <c r="L103" s="5">
        <f t="shared" si="47"/>
        <v>0</v>
      </c>
      <c r="M103" s="5">
        <f t="shared" si="47"/>
        <v>0</v>
      </c>
      <c r="N103" s="5">
        <f t="shared" si="47"/>
        <v>0</v>
      </c>
      <c r="O103" s="5">
        <f t="shared" si="47"/>
        <v>0</v>
      </c>
      <c r="P103" s="5">
        <f t="shared" si="47"/>
        <v>0</v>
      </c>
      <c r="Q103" s="5">
        <f t="shared" si="47"/>
        <v>0</v>
      </c>
      <c r="R103" s="5">
        <f t="shared" si="47"/>
        <v>0</v>
      </c>
      <c r="S103" s="5">
        <f t="shared" si="47"/>
        <v>0</v>
      </c>
      <c r="T103" s="107">
        <f t="shared" si="47"/>
        <v>0</v>
      </c>
      <c r="U103" s="107">
        <f t="shared" si="47"/>
        <v>0</v>
      </c>
      <c r="V103" s="107">
        <f t="shared" si="47"/>
        <v>0</v>
      </c>
      <c r="W103" s="107">
        <f t="shared" si="47"/>
        <v>0</v>
      </c>
      <c r="X103" s="5">
        <f t="shared" si="47"/>
        <v>0</v>
      </c>
      <c r="Y103" s="5">
        <f t="shared" si="34"/>
        <v>0</v>
      </c>
    </row>
    <row r="104" spans="1:25" x14ac:dyDescent="0.2">
      <c r="A104" s="129">
        <v>39</v>
      </c>
      <c r="B104" s="107">
        <f>J104</f>
        <v>-333.45</v>
      </c>
      <c r="C104" s="5" t="s">
        <v>221</v>
      </c>
      <c r="D104" s="5"/>
      <c r="E104" s="5"/>
      <c r="F104" s="5"/>
      <c r="G104" s="5"/>
      <c r="H104" s="5"/>
      <c r="I104" s="5"/>
      <c r="J104" s="107">
        <v>-333.45</v>
      </c>
      <c r="K104" s="5"/>
      <c r="L104" s="5"/>
      <c r="M104" s="5"/>
      <c r="N104" s="5"/>
      <c r="O104" s="5"/>
      <c r="P104" s="5"/>
      <c r="Q104" s="5"/>
      <c r="R104" s="5"/>
      <c r="S104" s="5"/>
      <c r="T104" s="107"/>
      <c r="U104" s="107"/>
      <c r="V104" s="107"/>
      <c r="W104" s="107"/>
      <c r="X104" s="5"/>
      <c r="Y104" s="5">
        <f t="shared" si="34"/>
        <v>-333.45</v>
      </c>
    </row>
    <row r="105" spans="1:25" x14ac:dyDescent="0.2">
      <c r="A105" s="129">
        <v>44</v>
      </c>
      <c r="B105" s="107">
        <f>X106</f>
        <v>0</v>
      </c>
      <c r="C105" s="5" t="s">
        <v>222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107"/>
      <c r="U105" s="107"/>
      <c r="V105" s="107"/>
      <c r="W105" s="107"/>
      <c r="X105" s="5"/>
      <c r="Y105" s="5">
        <f t="shared" si="34"/>
        <v>0</v>
      </c>
    </row>
    <row r="106" spans="1:25" x14ac:dyDescent="0.2">
      <c r="A106" s="129">
        <v>46</v>
      </c>
      <c r="B106" s="107">
        <f>I106</f>
        <v>-920.14</v>
      </c>
      <c r="C106" s="5" t="s">
        <v>223</v>
      </c>
      <c r="D106" s="5"/>
      <c r="E106" s="5"/>
      <c r="F106" s="5"/>
      <c r="G106" s="5"/>
      <c r="H106" s="5"/>
      <c r="I106" s="107">
        <v>-920.14</v>
      </c>
      <c r="J106" s="107" t="s">
        <v>133</v>
      </c>
      <c r="K106" s="5">
        <f>-K102</f>
        <v>0</v>
      </c>
      <c r="L106" s="5">
        <f>-L102</f>
        <v>0</v>
      </c>
      <c r="M106" s="5"/>
      <c r="N106" s="5"/>
      <c r="O106" s="5"/>
      <c r="P106" s="5"/>
      <c r="Q106" s="5"/>
      <c r="R106" s="5"/>
      <c r="S106" s="5"/>
      <c r="T106" s="107"/>
      <c r="U106" s="107"/>
      <c r="V106" s="107"/>
      <c r="W106" s="107"/>
      <c r="X106" s="107">
        <v>0</v>
      </c>
      <c r="Y106" s="5">
        <f t="shared" si="34"/>
        <v>-920.14</v>
      </c>
    </row>
    <row r="107" spans="1:25" x14ac:dyDescent="0.2">
      <c r="A107" s="4">
        <v>49</v>
      </c>
      <c r="B107" s="107">
        <v>28963.63</v>
      </c>
      <c r="C107" s="5" t="s">
        <v>224</v>
      </c>
      <c r="D107" s="5"/>
      <c r="E107" s="5"/>
      <c r="F107" s="5"/>
      <c r="G107" s="5"/>
      <c r="H107" s="5">
        <v>28963.63</v>
      </c>
      <c r="I107" s="107"/>
      <c r="J107" s="107"/>
      <c r="K107" s="5"/>
      <c r="L107" s="5"/>
      <c r="M107" s="5"/>
      <c r="N107" s="5"/>
      <c r="O107" s="5"/>
      <c r="P107" s="5"/>
      <c r="Q107" s="5"/>
      <c r="R107" s="5"/>
      <c r="S107" s="5"/>
      <c r="T107" s="107"/>
      <c r="U107" s="107"/>
      <c r="V107" s="107"/>
      <c r="W107" s="107"/>
      <c r="X107" s="107"/>
      <c r="Y107" s="5"/>
    </row>
    <row r="108" spans="1:25" ht="13.5" thickBot="1" x14ac:dyDescent="0.25">
      <c r="A108" s="4">
        <v>50</v>
      </c>
      <c r="B108" s="5">
        <v>26898.44</v>
      </c>
      <c r="C108" s="5" t="s">
        <v>225</v>
      </c>
      <c r="D108" s="5"/>
      <c r="E108" s="5"/>
      <c r="F108" s="5"/>
      <c r="G108" s="5"/>
      <c r="H108" s="5">
        <v>26898.44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107"/>
      <c r="U108" s="107"/>
      <c r="V108" s="107"/>
      <c r="W108" s="107"/>
      <c r="X108" s="5"/>
      <c r="Y108" s="5"/>
    </row>
    <row r="109" spans="1:25" ht="13.5" thickBot="1" x14ac:dyDescent="0.25">
      <c r="A109" s="182" t="s">
        <v>268</v>
      </c>
      <c r="B109" s="183">
        <f>F134</f>
        <v>1008321</v>
      </c>
      <c r="C109" s="5"/>
      <c r="D109" s="5"/>
      <c r="E109" s="5"/>
      <c r="F109" s="5"/>
      <c r="G109" s="5"/>
      <c r="H109" s="184">
        <f>F134</f>
        <v>1008321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107"/>
      <c r="U109" s="107"/>
      <c r="V109" s="107"/>
      <c r="W109" s="107"/>
      <c r="X109" s="5"/>
      <c r="Y109" s="5"/>
    </row>
    <row r="110" spans="1:25" x14ac:dyDescent="0.2">
      <c r="B110" s="5" t="s">
        <v>133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107"/>
      <c r="U110" s="107"/>
      <c r="V110" s="107"/>
      <c r="W110" s="107"/>
      <c r="X110" s="5"/>
      <c r="Y110" s="5"/>
    </row>
    <row r="111" spans="1:25" ht="13.5" thickBot="1" x14ac:dyDescent="0.25">
      <c r="A111" s="1" t="s">
        <v>226</v>
      </c>
      <c r="B111" s="5">
        <f t="shared" ref="B111:Y111" si="48">SUM(B57:B110)</f>
        <v>2989320.6799999997</v>
      </c>
      <c r="C111" s="5">
        <f t="shared" si="48"/>
        <v>8753.4460313758591</v>
      </c>
      <c r="D111" s="5">
        <f t="shared" si="48"/>
        <v>3990.0781954832732</v>
      </c>
      <c r="E111" s="5">
        <f t="shared" si="48"/>
        <v>5531.9408646038146</v>
      </c>
      <c r="F111" s="5">
        <f t="shared" si="48"/>
        <v>13061.999436231046</v>
      </c>
      <c r="G111" s="5">
        <f t="shared" si="48"/>
        <v>7984.7520429525557</v>
      </c>
      <c r="H111" s="5">
        <f>SUM(H57:H110)</f>
        <v>2243031.3023250918</v>
      </c>
      <c r="I111" s="5">
        <f t="shared" si="48"/>
        <v>9.4487908836526913E-4</v>
      </c>
      <c r="J111" s="5">
        <f t="shared" si="48"/>
        <v>5069.1700795353709</v>
      </c>
      <c r="K111" s="5">
        <f t="shared" si="48"/>
        <v>0</v>
      </c>
      <c r="L111" s="5">
        <f t="shared" si="48"/>
        <v>0</v>
      </c>
      <c r="M111" s="5">
        <f t="shared" si="48"/>
        <v>301700.45208460721</v>
      </c>
      <c r="N111" s="5">
        <f t="shared" si="48"/>
        <v>39967.352891143208</v>
      </c>
      <c r="O111" s="5">
        <f t="shared" si="48"/>
        <v>77659.691775148531</v>
      </c>
      <c r="P111" s="5">
        <f t="shared" si="48"/>
        <v>53101.532889303722</v>
      </c>
      <c r="Q111" s="5">
        <f t="shared" si="48"/>
        <v>30355.03126402765</v>
      </c>
      <c r="R111" s="5">
        <f t="shared" si="48"/>
        <v>27402.811167710788</v>
      </c>
      <c r="S111" s="5">
        <f t="shared" si="48"/>
        <v>52316.948210996154</v>
      </c>
      <c r="T111" s="107">
        <f t="shared" si="48"/>
        <v>91009.378789808427</v>
      </c>
      <c r="U111" s="107">
        <f t="shared" si="48"/>
        <v>15418.79362827053</v>
      </c>
      <c r="V111" s="107">
        <f t="shared" si="48"/>
        <v>12965.997378830656</v>
      </c>
      <c r="W111" s="107">
        <f t="shared" si="48"/>
        <v>0</v>
      </c>
      <c r="X111" s="5">
        <f t="shared" si="48"/>
        <v>0</v>
      </c>
      <c r="Y111" s="5">
        <f t="shared" si="48"/>
        <v>1925137.61</v>
      </c>
    </row>
    <row r="112" spans="1:25" ht="13.5" thickBot="1" x14ac:dyDescent="0.25">
      <c r="A112" s="130"/>
      <c r="B112" s="131"/>
      <c r="C112" s="132">
        <f t="shared" ref="C112:J112" si="49">C111/$B111</f>
        <v>2.9282392116512105E-3</v>
      </c>
      <c r="D112" s="133">
        <f t="shared" si="49"/>
        <v>1.3347775707634262E-3</v>
      </c>
      <c r="E112" s="133">
        <f t="shared" si="49"/>
        <v>1.8505678904291443E-3</v>
      </c>
      <c r="F112" s="133">
        <f t="shared" si="49"/>
        <v>4.3695544354348248E-3</v>
      </c>
      <c r="G112" s="133">
        <f t="shared" si="49"/>
        <v>2.6710924981633473E-3</v>
      </c>
      <c r="H112" s="133">
        <f t="shared" si="49"/>
        <v>0.75034817018195987</v>
      </c>
      <c r="I112" s="133">
        <f t="shared" si="49"/>
        <v>3.160848866724025E-10</v>
      </c>
      <c r="J112" s="133">
        <f t="shared" si="49"/>
        <v>1.695759880647991E-3</v>
      </c>
      <c r="K112" s="133"/>
      <c r="L112" s="133"/>
      <c r="M112" s="133">
        <f t="shared" ref="M112:W112" si="50">M111/$B111</f>
        <v>0.10092609137023306</v>
      </c>
      <c r="N112" s="133">
        <f t="shared" si="50"/>
        <v>1.3370045294418936E-2</v>
      </c>
      <c r="O112" s="133">
        <f t="shared" si="50"/>
        <v>2.5979043431080984E-2</v>
      </c>
      <c r="P112" s="133">
        <f t="shared" si="50"/>
        <v>1.7763745871956341E-2</v>
      </c>
      <c r="Q112" s="133">
        <f t="shared" si="50"/>
        <v>1.0154491442526552E-2</v>
      </c>
      <c r="R112" s="133">
        <f t="shared" si="50"/>
        <v>9.1669024842496293E-3</v>
      </c>
      <c r="S112" s="133">
        <f t="shared" si="50"/>
        <v>1.7501283338727032E-2</v>
      </c>
      <c r="T112" s="133">
        <f t="shared" si="50"/>
        <v>3.0444836313047698E-2</v>
      </c>
      <c r="U112" s="133">
        <f t="shared" si="50"/>
        <v>5.1579590411392501E-3</v>
      </c>
      <c r="V112" s="133">
        <f>V111/$B111</f>
        <v>4.3374394274857987E-3</v>
      </c>
      <c r="W112" s="133">
        <f t="shared" si="50"/>
        <v>0</v>
      </c>
      <c r="X112" s="133"/>
      <c r="Y112" s="134">
        <f>SUM(C112:X112)</f>
        <v>1</v>
      </c>
    </row>
    <row r="113" spans="1:25" x14ac:dyDescent="0.2">
      <c r="A113" s="135">
        <v>999</v>
      </c>
      <c r="B113" s="136">
        <v>284903.75</v>
      </c>
      <c r="C113" s="26">
        <f t="shared" ref="C113:J113" si="51">$B$113*C112</f>
        <v>834.26633229647359</v>
      </c>
      <c r="D113" s="26">
        <f t="shared" si="51"/>
        <v>380.28313532639049</v>
      </c>
      <c r="E113" s="26">
        <f t="shared" si="51"/>
        <v>527.23373161285235</v>
      </c>
      <c r="F113" s="26">
        <f t="shared" si="51"/>
        <v>1244.9024444845145</v>
      </c>
      <c r="G113" s="26">
        <f t="shared" si="51"/>
        <v>761.00426932360574</v>
      </c>
      <c r="H113" s="26">
        <f t="shared" si="51"/>
        <v>213777.00749047854</v>
      </c>
      <c r="I113" s="26">
        <f t="shared" si="51"/>
        <v>9.0053769531292489E-5</v>
      </c>
      <c r="J113" s="26">
        <f t="shared" si="51"/>
        <v>483.12834909616504</v>
      </c>
      <c r="K113" s="26"/>
      <c r="L113" s="26"/>
      <c r="M113" s="26">
        <f t="shared" ref="M113:W113" si="52">$B$113*M112</f>
        <v>28754.221904222039</v>
      </c>
      <c r="N113" s="26">
        <f t="shared" si="52"/>
        <v>3809.176042049809</v>
      </c>
      <c r="O113" s="26">
        <f t="shared" si="52"/>
        <v>7401.5268949278388</v>
      </c>
      <c r="P113" s="26">
        <f t="shared" si="52"/>
        <v>5060.9578129673819</v>
      </c>
      <c r="Q113" s="26">
        <f t="shared" si="52"/>
        <v>2893.0526913187241</v>
      </c>
      <c r="R113" s="26">
        <f t="shared" si="52"/>
        <v>2611.6848936470356</v>
      </c>
      <c r="S113" s="26">
        <f t="shared" si="52"/>
        <v>4986.1812530158513</v>
      </c>
      <c r="T113" s="136">
        <f t="shared" si="52"/>
        <v>8673.8480337234632</v>
      </c>
      <c r="U113" s="136">
        <f t="shared" si="52"/>
        <v>1469.5218731669765</v>
      </c>
      <c r="V113" s="136">
        <f t="shared" si="52"/>
        <v>1235.7527582885571</v>
      </c>
      <c r="W113" s="136">
        <f t="shared" si="52"/>
        <v>0</v>
      </c>
      <c r="X113" s="26"/>
      <c r="Y113" s="137">
        <f>SUM(C113:X113)</f>
        <v>284903.75000000006</v>
      </c>
    </row>
    <row r="114" spans="1:25" ht="13.5" thickBot="1" x14ac:dyDescent="0.25">
      <c r="A114" s="135"/>
      <c r="B114" s="136"/>
    </row>
    <row r="115" spans="1:25" ht="13.5" thickBot="1" x14ac:dyDescent="0.25">
      <c r="A115" s="124" t="s">
        <v>227</v>
      </c>
      <c r="B115" s="138">
        <f>B111+B113</f>
        <v>3274224.4299999997</v>
      </c>
      <c r="C115" s="138">
        <f t="shared" ref="C115:J115" si="53">C111+C113</f>
        <v>9587.7123636723336</v>
      </c>
      <c r="D115" s="138">
        <f t="shared" si="53"/>
        <v>4370.3613308096637</v>
      </c>
      <c r="E115" s="138">
        <f t="shared" si="53"/>
        <v>6059.1745962166669</v>
      </c>
      <c r="F115" s="138">
        <f t="shared" si="53"/>
        <v>14306.901880715561</v>
      </c>
      <c r="G115" s="138">
        <f>G111+G113</f>
        <v>8745.7563122761621</v>
      </c>
      <c r="H115" s="138">
        <f>H111+H113</f>
        <v>2456808.3098155702</v>
      </c>
      <c r="I115" s="138">
        <f t="shared" si="53"/>
        <v>1.0349328578965616E-3</v>
      </c>
      <c r="J115" s="138">
        <f t="shared" si="53"/>
        <v>5552.2984286315359</v>
      </c>
      <c r="K115" s="138"/>
      <c r="L115" s="138"/>
      <c r="M115" s="138">
        <f t="shared" ref="M115:W115" si="54">M111+M113</f>
        <v>330454.67398882925</v>
      </c>
      <c r="N115" s="138">
        <f t="shared" si="54"/>
        <v>43776.528933193018</v>
      </c>
      <c r="O115" s="138">
        <f t="shared" si="54"/>
        <v>85061.21867007637</v>
      </c>
      <c r="P115" s="138">
        <f t="shared" si="54"/>
        <v>58162.490702271105</v>
      </c>
      <c r="Q115" s="138">
        <f t="shared" si="54"/>
        <v>33248.083955346374</v>
      </c>
      <c r="R115" s="138">
        <f t="shared" si="54"/>
        <v>30014.496061357822</v>
      </c>
      <c r="S115" s="138">
        <f t="shared" si="54"/>
        <v>57303.129464012003</v>
      </c>
      <c r="T115" s="138">
        <f t="shared" si="54"/>
        <v>99683.226823531892</v>
      </c>
      <c r="U115" s="138">
        <f t="shared" si="54"/>
        <v>16888.315501437508</v>
      </c>
      <c r="V115" s="138">
        <f t="shared" si="54"/>
        <v>14201.750137119214</v>
      </c>
      <c r="W115" s="138">
        <f t="shared" si="54"/>
        <v>0</v>
      </c>
      <c r="X115" s="138"/>
      <c r="Y115" s="139">
        <f>SUM(C115:X115)</f>
        <v>3274224.4299999988</v>
      </c>
    </row>
    <row r="116" spans="1:25" ht="13.5" thickBot="1" x14ac:dyDescent="0.25">
      <c r="A116" s="135"/>
      <c r="B116" s="26"/>
      <c r="C116" s="26"/>
      <c r="D116" s="26"/>
      <c r="E116" s="26"/>
      <c r="F116" s="80" t="s">
        <v>271</v>
      </c>
      <c r="G116" s="26">
        <f>F115+G115</f>
        <v>23052.658192991723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140" t="s">
        <v>133</v>
      </c>
      <c r="U116" s="140" t="s">
        <v>228</v>
      </c>
      <c r="V116" s="140"/>
      <c r="W116" s="140">
        <f>T115+U115+V115+W115</f>
        <v>130773.29246208862</v>
      </c>
      <c r="X116" s="26"/>
      <c r="Y116" s="137"/>
    </row>
    <row r="117" spans="1:25" ht="13.5" thickBot="1" x14ac:dyDescent="0.25">
      <c r="A117" s="141" t="s">
        <v>229</v>
      </c>
      <c r="B117" s="142"/>
      <c r="C117" s="143">
        <v>20067.740000000002</v>
      </c>
      <c r="D117" s="143">
        <v>11259.81</v>
      </c>
      <c r="E117" s="143">
        <v>13029.86</v>
      </c>
      <c r="F117" s="144"/>
      <c r="G117" s="145">
        <v>50878.44</v>
      </c>
      <c r="H117" s="143">
        <v>1372684.12</v>
      </c>
      <c r="I117" s="143"/>
      <c r="J117" s="143"/>
      <c r="K117" s="143"/>
      <c r="L117" s="143"/>
      <c r="M117" s="143">
        <v>204604.6</v>
      </c>
      <c r="N117" s="143">
        <v>54231.22</v>
      </c>
      <c r="O117" s="143">
        <v>100841.32</v>
      </c>
      <c r="P117" s="143">
        <v>70978.960000000006</v>
      </c>
      <c r="Q117" s="143">
        <v>41526.550000000003</v>
      </c>
      <c r="R117" s="143">
        <v>38137.43</v>
      </c>
      <c r="S117" s="143">
        <v>68408.350000000006</v>
      </c>
      <c r="T117" s="146"/>
      <c r="U117" s="147"/>
      <c r="V117" s="147"/>
      <c r="W117" s="145">
        <v>163392.88</v>
      </c>
      <c r="X117" s="143"/>
      <c r="Y117" s="148">
        <f>SUM(C117:X117)</f>
        <v>2210041.2800000003</v>
      </c>
    </row>
    <row r="118" spans="1:25" ht="13.5" thickBot="1" x14ac:dyDescent="0.25">
      <c r="A118" s="149" t="s">
        <v>230</v>
      </c>
      <c r="B118" s="150"/>
      <c r="C118" s="151">
        <f>SUM(C117-C115)</f>
        <v>10480.027636327668</v>
      </c>
      <c r="D118" s="152">
        <f>SUM(D117-D115)</f>
        <v>6889.4486691903357</v>
      </c>
      <c r="E118" s="153">
        <f>SUM(E117-E115)</f>
        <v>6970.6854037833336</v>
      </c>
      <c r="F118" s="147"/>
      <c r="G118" s="154">
        <f>SUM(G117-G116)</f>
        <v>27825.781807008279</v>
      </c>
      <c r="H118" s="147">
        <f>SUM(H117-H115)+H109+H108+H107</f>
        <v>-19941.119815570131</v>
      </c>
      <c r="I118" s="147"/>
      <c r="J118" s="147">
        <f>SUM(J117-J115)</f>
        <v>-5552.2984286315359</v>
      </c>
      <c r="K118" s="147"/>
      <c r="L118" s="147"/>
      <c r="M118" s="147">
        <f t="shared" ref="M118:S118" si="55">SUM(M117-M115)</f>
        <v>-125850.07398882924</v>
      </c>
      <c r="N118" s="152">
        <f t="shared" si="55"/>
        <v>10454.691066806983</v>
      </c>
      <c r="O118" s="152">
        <f t="shared" si="55"/>
        <v>15780.101329923637</v>
      </c>
      <c r="P118" s="152">
        <f t="shared" si="55"/>
        <v>12816.469297728901</v>
      </c>
      <c r="Q118" s="152">
        <f t="shared" si="55"/>
        <v>8278.4660446536291</v>
      </c>
      <c r="R118" s="152">
        <f t="shared" si="55"/>
        <v>8122.933938642178</v>
      </c>
      <c r="S118" s="153">
        <f t="shared" si="55"/>
        <v>11105.220535988003</v>
      </c>
      <c r="T118" s="147"/>
      <c r="U118" s="147"/>
      <c r="V118" s="147"/>
      <c r="W118" s="154">
        <f>SUM(W117-W116)</f>
        <v>32619.587537911386</v>
      </c>
      <c r="X118" s="147"/>
      <c r="Y118" s="155">
        <f>SUM(Y117-Y115)</f>
        <v>-1064183.1499999985</v>
      </c>
    </row>
    <row r="119" spans="1:25" x14ac:dyDescent="0.2">
      <c r="B119" s="50"/>
      <c r="C119" s="156" t="s">
        <v>231</v>
      </c>
      <c r="D119" s="156" t="s">
        <v>232</v>
      </c>
      <c r="E119" s="157" t="s">
        <v>233</v>
      </c>
      <c r="G119" s="158" t="s">
        <v>271</v>
      </c>
      <c r="H119" s="156" t="s">
        <v>234</v>
      </c>
      <c r="I119" s="156" t="s">
        <v>6</v>
      </c>
      <c r="J119" s="156" t="s">
        <v>7</v>
      </c>
      <c r="K119" s="157" t="s">
        <v>8</v>
      </c>
      <c r="L119" s="157" t="s">
        <v>9</v>
      </c>
      <c r="M119" s="156" t="s">
        <v>235</v>
      </c>
      <c r="N119" s="156" t="s">
        <v>236</v>
      </c>
      <c r="O119" s="156" t="s">
        <v>237</v>
      </c>
      <c r="P119" s="156" t="s">
        <v>238</v>
      </c>
      <c r="Q119" s="156" t="s">
        <v>239</v>
      </c>
      <c r="R119" s="156" t="s">
        <v>240</v>
      </c>
      <c r="S119" s="156" t="s">
        <v>241</v>
      </c>
      <c r="T119" s="158" t="s">
        <v>242</v>
      </c>
      <c r="U119" s="158" t="s">
        <v>243</v>
      </c>
      <c r="V119" s="158" t="s">
        <v>19</v>
      </c>
      <c r="W119" s="140" t="s">
        <v>244</v>
      </c>
      <c r="X119" s="26"/>
      <c r="Y119" s="137"/>
    </row>
    <row r="120" spans="1:25" x14ac:dyDescent="0.2">
      <c r="B120" s="50"/>
      <c r="C120" s="156"/>
      <c r="D120" s="156"/>
      <c r="E120" s="156"/>
      <c r="F120" s="158"/>
      <c r="G120" s="158"/>
      <c r="H120" s="104"/>
      <c r="I120" s="156"/>
      <c r="J120" s="156"/>
      <c r="K120" s="157"/>
      <c r="L120" s="157"/>
      <c r="M120" s="156"/>
      <c r="N120" s="156"/>
      <c r="O120" s="156"/>
      <c r="P120" s="156"/>
      <c r="Q120" s="156"/>
      <c r="R120" s="156"/>
      <c r="S120" s="156"/>
      <c r="T120" s="158"/>
      <c r="U120" s="158"/>
      <c r="V120" s="158"/>
      <c r="W120" s="136"/>
      <c r="X120" s="26"/>
      <c r="Y120" s="26">
        <f>SUM(C118:W118)</f>
        <v>-7.8965066575619858E-2</v>
      </c>
    </row>
    <row r="121" spans="1:25" x14ac:dyDescent="0.2">
      <c r="A121" s="11" t="s">
        <v>245</v>
      </c>
      <c r="H121" s="1" t="s">
        <v>133</v>
      </c>
      <c r="J121" s="159"/>
      <c r="S121" s="50"/>
      <c r="Y121" s="50"/>
    </row>
    <row r="122" spans="1:25" x14ac:dyDescent="0.2">
      <c r="A122" s="4">
        <v>49</v>
      </c>
      <c r="B122" s="160" t="s">
        <v>246</v>
      </c>
      <c r="C122" s="161">
        <v>28963.63</v>
      </c>
      <c r="D122" s="160" t="s">
        <v>133</v>
      </c>
      <c r="E122" s="1" t="s">
        <v>133</v>
      </c>
      <c r="H122" s="159"/>
    </row>
    <row r="123" spans="1:25" ht="15" x14ac:dyDescent="0.25">
      <c r="A123" s="4">
        <v>50</v>
      </c>
      <c r="B123" s="50" t="s">
        <v>246</v>
      </c>
      <c r="C123" s="161">
        <v>26898.44</v>
      </c>
      <c r="D123" s="1" t="s">
        <v>133</v>
      </c>
      <c r="H123"/>
      <c r="N123" s="11"/>
    </row>
    <row r="124" spans="1:25" ht="13.5" thickBot="1" x14ac:dyDescent="0.25"/>
    <row r="125" spans="1:25" ht="15.75" thickBot="1" x14ac:dyDescent="0.3">
      <c r="A125" s="182" t="s">
        <v>247</v>
      </c>
      <c r="B125" s="218"/>
      <c r="C125" s="219"/>
      <c r="D125" s="219"/>
      <c r="E125" s="219"/>
      <c r="F125" s="219"/>
      <c r="G125" s="220"/>
      <c r="H125"/>
      <c r="I125" s="182" t="s">
        <v>248</v>
      </c>
      <c r="J125" s="213"/>
      <c r="K125" s="219"/>
      <c r="L125" s="219"/>
      <c r="M125" s="219"/>
      <c r="N125" s="220"/>
      <c r="P125" s="162"/>
      <c r="Q125" s="163" t="s">
        <v>249</v>
      </c>
      <c r="R125" s="164"/>
      <c r="S125" s="165"/>
      <c r="U125" s="166" t="s">
        <v>250</v>
      </c>
      <c r="V125" s="167"/>
      <c r="W125" s="168"/>
      <c r="X125" s="169"/>
      <c r="Y125" s="324">
        <f>SUM(W118+S118+R118+Q118+P118+O118+N118+G118+E118+D118+C118)</f>
        <v>151343.41326796435</v>
      </c>
    </row>
    <row r="126" spans="1:25" ht="15.75" thickBot="1" x14ac:dyDescent="0.3">
      <c r="A126" s="215" t="s">
        <v>133</v>
      </c>
      <c r="B126" s="221">
        <v>614123</v>
      </c>
      <c r="C126" s="221" t="s">
        <v>251</v>
      </c>
      <c r="D126" s="222"/>
      <c r="E126" s="222"/>
      <c r="F126" s="223">
        <v>416861</v>
      </c>
      <c r="G126" s="224"/>
      <c r="H126"/>
      <c r="I126" s="240" t="s">
        <v>252</v>
      </c>
      <c r="J126" s="241"/>
      <c r="K126" s="242"/>
      <c r="L126" s="242"/>
      <c r="M126" s="241"/>
      <c r="N126" s="243">
        <f>Y59/Y7</f>
        <v>14.902575492341361</v>
      </c>
      <c r="P126" s="170"/>
      <c r="Q126" s="171" t="s">
        <v>253</v>
      </c>
      <c r="R126" s="172"/>
      <c r="S126" s="173"/>
      <c r="U126" s="174" t="s">
        <v>254</v>
      </c>
      <c r="V126" s="167"/>
      <c r="W126" s="167"/>
      <c r="X126" s="175"/>
      <c r="Y126" s="325">
        <f>SUM(H118)</f>
        <v>-19941.119815570131</v>
      </c>
    </row>
    <row r="127" spans="1:25" ht="15.75" thickBot="1" x14ac:dyDescent="0.3">
      <c r="A127" s="225" t="s">
        <v>133</v>
      </c>
      <c r="B127" s="226">
        <v>641700</v>
      </c>
      <c r="C127" s="226" t="s">
        <v>255</v>
      </c>
      <c r="D127" s="227"/>
      <c r="E127" s="227"/>
      <c r="F127" s="228">
        <v>134276</v>
      </c>
      <c r="G127" s="229"/>
      <c r="H127"/>
      <c r="I127" s="244" t="s">
        <v>256</v>
      </c>
      <c r="J127" s="245"/>
      <c r="K127" s="245"/>
      <c r="L127" s="245"/>
      <c r="M127" s="245"/>
      <c r="N127" s="246">
        <f>SUM(Y61/Y8)</f>
        <v>2563.5788301886791</v>
      </c>
      <c r="P127" s="176"/>
      <c r="Q127" s="177" t="s">
        <v>257</v>
      </c>
      <c r="R127" s="178"/>
      <c r="S127" s="179"/>
      <c r="U127" s="174" t="s">
        <v>258</v>
      </c>
      <c r="V127" s="167"/>
      <c r="W127" s="167"/>
      <c r="X127" s="175"/>
      <c r="Y127" s="325">
        <f>SUM(M118)</f>
        <v>-125850.07398882924</v>
      </c>
    </row>
    <row r="128" spans="1:25" ht="15.75" thickBot="1" x14ac:dyDescent="0.3">
      <c r="A128" s="216"/>
      <c r="B128" s="230">
        <v>642102</v>
      </c>
      <c r="C128" s="226" t="s">
        <v>259</v>
      </c>
      <c r="D128" s="226" t="s">
        <v>133</v>
      </c>
      <c r="E128" s="227"/>
      <c r="F128" s="228">
        <v>117924</v>
      </c>
      <c r="G128" s="231" t="s">
        <v>133</v>
      </c>
      <c r="H128" s="180" t="s">
        <v>133</v>
      </c>
      <c r="P128" s="181"/>
      <c r="Q128" s="171" t="s">
        <v>260</v>
      </c>
      <c r="R128" s="172"/>
      <c r="S128" s="173"/>
      <c r="Y128" s="5"/>
    </row>
    <row r="129" spans="1:7" ht="15" x14ac:dyDescent="0.25">
      <c r="A129" s="216"/>
      <c r="B129" s="226">
        <v>664500</v>
      </c>
      <c r="C129" s="232" t="s">
        <v>261</v>
      </c>
      <c r="D129" s="232" t="s">
        <v>133</v>
      </c>
      <c r="E129" s="227"/>
      <c r="F129" s="233">
        <v>2082</v>
      </c>
      <c r="G129" s="229"/>
    </row>
    <row r="130" spans="1:7" ht="15.75" thickBot="1" x14ac:dyDescent="0.3">
      <c r="A130" s="216"/>
      <c r="B130" s="226" t="s">
        <v>262</v>
      </c>
      <c r="C130" s="227"/>
      <c r="D130" s="226" t="s">
        <v>263</v>
      </c>
      <c r="E130" s="227"/>
      <c r="F130" s="230">
        <f>SUM(F126:F129)</f>
        <v>671143</v>
      </c>
      <c r="G130" s="229"/>
    </row>
    <row r="131" spans="1:7" ht="13.5" thickBot="1" x14ac:dyDescent="0.25">
      <c r="A131" s="182" t="s">
        <v>264</v>
      </c>
      <c r="B131" s="218"/>
      <c r="C131" s="219"/>
      <c r="D131" s="219"/>
      <c r="E131" s="219"/>
      <c r="F131" s="219"/>
      <c r="G131" s="220"/>
    </row>
    <row r="132" spans="1:7" x14ac:dyDescent="0.2">
      <c r="A132" s="215"/>
      <c r="B132" s="206"/>
      <c r="C132" s="206" t="s">
        <v>265</v>
      </c>
      <c r="D132" s="206"/>
      <c r="E132" s="206"/>
      <c r="F132" s="234">
        <v>1149143</v>
      </c>
      <c r="G132" s="235"/>
    </row>
    <row r="133" spans="1:7" x14ac:dyDescent="0.2">
      <c r="A133" s="216"/>
      <c r="B133" s="236"/>
      <c r="C133" s="236" t="s">
        <v>266</v>
      </c>
      <c r="D133" s="236"/>
      <c r="E133" s="236"/>
      <c r="F133" s="237">
        <v>140822</v>
      </c>
      <c r="G133" s="238"/>
    </row>
    <row r="134" spans="1:7" ht="13.5" thickBot="1" x14ac:dyDescent="0.25">
      <c r="A134" s="209"/>
      <c r="B134" s="210"/>
      <c r="C134" s="210" t="s">
        <v>267</v>
      </c>
      <c r="D134" s="210"/>
      <c r="E134" s="210"/>
      <c r="F134" s="211">
        <f>F132-F133</f>
        <v>1008321</v>
      </c>
      <c r="G134" s="2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4"/>
  <sheetViews>
    <sheetView tabSelected="1" zoomScale="90" zoomScaleNormal="90"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V48" sqref="V48"/>
    </sheetView>
  </sheetViews>
  <sheetFormatPr baseColWidth="10" defaultColWidth="9.5703125" defaultRowHeight="12.75" x14ac:dyDescent="0.2"/>
  <cols>
    <col min="1" max="1" width="11.5703125" style="1" bestFit="1" customWidth="1"/>
    <col min="2" max="2" width="16.5703125" style="1" customWidth="1"/>
    <col min="3" max="3" width="11.140625" style="1" bestFit="1" customWidth="1"/>
    <col min="4" max="4" width="9" style="1" bestFit="1" customWidth="1"/>
    <col min="5" max="5" width="9.85546875" style="1" bestFit="1" customWidth="1"/>
    <col min="6" max="6" width="10.140625" style="1" bestFit="1" customWidth="1"/>
    <col min="7" max="7" width="8.28515625" style="1" customWidth="1"/>
    <col min="8" max="8" width="10" style="1" customWidth="1"/>
    <col min="9" max="9" width="6.85546875" style="1" bestFit="1" customWidth="1"/>
    <col min="10" max="10" width="8.140625" style="1" bestFit="1" customWidth="1"/>
    <col min="11" max="11" width="6.28515625" style="1" bestFit="1" customWidth="1"/>
    <col min="12" max="12" width="6.42578125" style="1" bestFit="1" customWidth="1"/>
    <col min="13" max="13" width="9.5703125" style="1" bestFit="1" customWidth="1"/>
    <col min="14" max="16" width="8" style="1" bestFit="1" customWidth="1"/>
    <col min="17" max="18" width="7.5703125" style="1" bestFit="1" customWidth="1"/>
    <col min="19" max="20" width="8" style="1" bestFit="1" customWidth="1"/>
    <col min="21" max="21" width="7.5703125" style="1" bestFit="1" customWidth="1"/>
    <col min="22" max="22" width="7.85546875" style="1" bestFit="1" customWidth="1"/>
    <col min="23" max="23" width="8.5703125" style="1" bestFit="1" customWidth="1"/>
    <col min="24" max="24" width="6.5703125" style="1" bestFit="1" customWidth="1"/>
    <col min="25" max="25" width="11.140625" style="60" customWidth="1"/>
    <col min="26" max="26" width="2.7109375" style="1" customWidth="1"/>
    <col min="27" max="27" width="7.42578125" style="1" bestFit="1" customWidth="1"/>
    <col min="28" max="28" width="26.5703125" style="1" bestFit="1" customWidth="1"/>
    <col min="29" max="29" width="13" style="1" bestFit="1" customWidth="1"/>
    <col min="30" max="30" width="12.42578125" style="1" bestFit="1" customWidth="1"/>
    <col min="31" max="32" width="11.42578125" style="1" bestFit="1" customWidth="1"/>
    <col min="33" max="16384" width="9.5703125" style="1"/>
  </cols>
  <sheetData>
    <row r="1" spans="1:42" ht="64.5" thickBot="1" x14ac:dyDescent="0.25">
      <c r="A1" s="71" t="s">
        <v>276</v>
      </c>
      <c r="B1" s="71" t="s">
        <v>0</v>
      </c>
      <c r="C1" s="186" t="s">
        <v>1</v>
      </c>
      <c r="D1" s="186" t="s">
        <v>2</v>
      </c>
      <c r="E1" s="186" t="s">
        <v>3</v>
      </c>
      <c r="F1" s="272" t="s">
        <v>4</v>
      </c>
      <c r="G1" s="272"/>
      <c r="H1" s="186" t="s">
        <v>5</v>
      </c>
      <c r="I1" s="186" t="s">
        <v>6</v>
      </c>
      <c r="J1" s="186" t="s">
        <v>7</v>
      </c>
      <c r="K1" s="186" t="s">
        <v>8</v>
      </c>
      <c r="L1" s="186" t="s">
        <v>9</v>
      </c>
      <c r="M1" s="186" t="s">
        <v>10</v>
      </c>
      <c r="N1" s="186" t="s">
        <v>11</v>
      </c>
      <c r="O1" s="186" t="s">
        <v>12</v>
      </c>
      <c r="P1" s="186" t="s">
        <v>13</v>
      </c>
      <c r="Q1" s="186" t="s">
        <v>14</v>
      </c>
      <c r="R1" s="186" t="s">
        <v>15</v>
      </c>
      <c r="S1" s="186" t="s">
        <v>16</v>
      </c>
      <c r="T1" s="186" t="s">
        <v>17</v>
      </c>
      <c r="U1" s="186" t="s">
        <v>18</v>
      </c>
      <c r="V1" s="186" t="s">
        <v>19</v>
      </c>
      <c r="W1" s="186" t="s">
        <v>49</v>
      </c>
      <c r="X1" s="186" t="s">
        <v>20</v>
      </c>
      <c r="Y1" s="187" t="s">
        <v>21</v>
      </c>
    </row>
    <row r="2" spans="1:42" ht="26.25" thickBot="1" x14ac:dyDescent="0.25">
      <c r="A2" s="69" t="s">
        <v>37</v>
      </c>
      <c r="B2" s="70" t="s">
        <v>36</v>
      </c>
      <c r="C2" s="188" t="s">
        <v>22</v>
      </c>
      <c r="D2" s="188" t="s">
        <v>23</v>
      </c>
      <c r="E2" s="188" t="s">
        <v>24</v>
      </c>
      <c r="F2" s="189" t="s">
        <v>25</v>
      </c>
      <c r="G2" s="189" t="s">
        <v>26</v>
      </c>
      <c r="H2" s="190" t="s">
        <v>96</v>
      </c>
      <c r="I2" s="188"/>
      <c r="J2" s="188"/>
      <c r="K2" s="188"/>
      <c r="L2" s="188"/>
      <c r="M2" s="188" t="s">
        <v>27</v>
      </c>
      <c r="N2" s="188" t="s">
        <v>28</v>
      </c>
      <c r="O2" s="188" t="s">
        <v>29</v>
      </c>
      <c r="P2" s="188" t="s">
        <v>30</v>
      </c>
      <c r="Q2" s="188" t="s">
        <v>31</v>
      </c>
      <c r="R2" s="188" t="s">
        <v>32</v>
      </c>
      <c r="S2" s="188" t="s">
        <v>33</v>
      </c>
      <c r="T2" s="189" t="s">
        <v>34</v>
      </c>
      <c r="U2" s="189" t="s">
        <v>34</v>
      </c>
      <c r="V2" s="189"/>
      <c r="W2" s="189"/>
      <c r="X2" s="189"/>
      <c r="Y2" s="191"/>
    </row>
    <row r="3" spans="1:42" ht="13.5" thickBot="1" x14ac:dyDescent="0.25">
      <c r="A3" s="281" t="s">
        <v>38</v>
      </c>
      <c r="B3" s="282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191"/>
    </row>
    <row r="4" spans="1:42" x14ac:dyDescent="0.2">
      <c r="A4" s="6">
        <v>5</v>
      </c>
      <c r="B4" s="78" t="s">
        <v>104</v>
      </c>
      <c r="C4" s="7">
        <v>6</v>
      </c>
      <c r="D4" s="7">
        <v>4</v>
      </c>
      <c r="E4" s="7">
        <v>4</v>
      </c>
      <c r="F4" s="7">
        <v>16</v>
      </c>
      <c r="G4" s="7"/>
      <c r="H4" s="7">
        <v>327</v>
      </c>
      <c r="I4" s="7"/>
      <c r="J4" s="7"/>
      <c r="K4" s="7"/>
      <c r="L4" s="7"/>
      <c r="M4" s="7">
        <v>58</v>
      </c>
      <c r="N4" s="7">
        <v>5</v>
      </c>
      <c r="O4" s="7">
        <v>7</v>
      </c>
      <c r="P4" s="19">
        <v>6</v>
      </c>
      <c r="Q4" s="19">
        <v>4</v>
      </c>
      <c r="R4" s="19">
        <v>4</v>
      </c>
      <c r="S4" s="19">
        <v>5</v>
      </c>
      <c r="T4" s="19">
        <v>5</v>
      </c>
      <c r="U4" s="19">
        <v>5</v>
      </c>
      <c r="V4" s="19">
        <v>5</v>
      </c>
      <c r="W4" s="19"/>
      <c r="X4" s="7"/>
      <c r="Y4" s="191">
        <f>SUM(C4:X4)</f>
        <v>461</v>
      </c>
    </row>
    <row r="5" spans="1:42" ht="13.5" thickBot="1" x14ac:dyDescent="0.25">
      <c r="A5" s="8">
        <v>6</v>
      </c>
      <c r="B5" s="48" t="s">
        <v>35</v>
      </c>
      <c r="C5" s="9"/>
      <c r="D5" s="9"/>
      <c r="E5" s="9"/>
      <c r="F5" s="9"/>
      <c r="G5" s="9"/>
      <c r="H5" s="9">
        <v>181</v>
      </c>
      <c r="I5" s="9"/>
      <c r="J5" s="9">
        <v>2</v>
      </c>
      <c r="K5" s="9"/>
      <c r="L5" s="9"/>
      <c r="M5" s="9">
        <v>82</v>
      </c>
      <c r="N5" s="9"/>
      <c r="O5" s="9"/>
      <c r="P5" s="20"/>
      <c r="Q5" s="20"/>
      <c r="R5" s="20"/>
      <c r="S5" s="20"/>
      <c r="T5" s="20"/>
      <c r="U5" s="20"/>
      <c r="V5" s="20">
        <v>18</v>
      </c>
      <c r="W5" s="20"/>
      <c r="X5" s="9"/>
      <c r="Y5" s="191">
        <f>SUM(C5:X5)</f>
        <v>283</v>
      </c>
    </row>
    <row r="6" spans="1:42" s="27" customFormat="1" ht="13.5" thickBot="1" x14ac:dyDescent="0.25">
      <c r="A6" s="23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191"/>
    </row>
    <row r="7" spans="1:42" ht="13.5" thickBot="1" x14ac:dyDescent="0.25">
      <c r="A7" s="281" t="s">
        <v>39</v>
      </c>
      <c r="B7" s="282"/>
      <c r="C7" s="192"/>
      <c r="D7" s="192"/>
      <c r="E7" s="192"/>
      <c r="F7" s="193"/>
      <c r="G7" s="193"/>
      <c r="H7" s="192"/>
      <c r="I7" s="194"/>
      <c r="J7" s="194"/>
      <c r="K7" s="195"/>
      <c r="L7" s="195"/>
      <c r="M7" s="192"/>
      <c r="N7" s="192"/>
      <c r="O7" s="192"/>
      <c r="P7" s="192"/>
      <c r="Q7" s="192"/>
      <c r="R7" s="192"/>
      <c r="S7" s="192"/>
      <c r="T7" s="193"/>
      <c r="U7" s="193"/>
      <c r="V7" s="196"/>
      <c r="W7" s="196"/>
      <c r="X7" s="194"/>
      <c r="Y7" s="191"/>
      <c r="AA7" s="266"/>
      <c r="AB7" s="267"/>
      <c r="AC7" s="248" t="s">
        <v>93</v>
      </c>
      <c r="AD7" s="249" t="s">
        <v>101</v>
      </c>
    </row>
    <row r="8" spans="1:42" x14ac:dyDescent="0.2">
      <c r="A8" s="6">
        <v>5</v>
      </c>
      <c r="B8" s="78" t="s">
        <v>9</v>
      </c>
      <c r="C8" s="7">
        <v>60</v>
      </c>
      <c r="D8" s="7">
        <v>40</v>
      </c>
      <c r="E8" s="7">
        <v>40</v>
      </c>
      <c r="F8" s="7">
        <v>160</v>
      </c>
      <c r="G8" s="7"/>
      <c r="H8" s="7">
        <v>3270</v>
      </c>
      <c r="I8" s="7"/>
      <c r="J8" s="7"/>
      <c r="K8" s="7"/>
      <c r="L8" s="7"/>
      <c r="M8" s="7">
        <v>580</v>
      </c>
      <c r="N8" s="7">
        <v>50</v>
      </c>
      <c r="O8" s="19">
        <v>70</v>
      </c>
      <c r="P8" s="19">
        <v>60</v>
      </c>
      <c r="Q8" s="19">
        <v>40</v>
      </c>
      <c r="R8" s="19">
        <v>40</v>
      </c>
      <c r="S8" s="19">
        <v>50</v>
      </c>
      <c r="T8" s="19">
        <v>50</v>
      </c>
      <c r="U8" s="19">
        <v>50</v>
      </c>
      <c r="V8" s="19">
        <v>10</v>
      </c>
      <c r="W8" s="7"/>
      <c r="X8" s="7"/>
      <c r="Y8" s="191">
        <f>SUM(C8:X8)</f>
        <v>4570</v>
      </c>
      <c r="AA8" s="268" t="s">
        <v>269</v>
      </c>
      <c r="AB8" s="269"/>
      <c r="AC8" s="75">
        <f>B16/Y4</f>
        <v>1603.574338394794</v>
      </c>
      <c r="AD8" s="76">
        <f>B24/Y8</f>
        <v>14.902575492341361</v>
      </c>
    </row>
    <row r="9" spans="1:42" ht="13.5" thickBot="1" x14ac:dyDescent="0.25">
      <c r="A9" s="8">
        <v>6</v>
      </c>
      <c r="B9" s="48" t="s">
        <v>35</v>
      </c>
      <c r="C9" s="9"/>
      <c r="D9" s="9"/>
      <c r="E9" s="9"/>
      <c r="F9" s="9"/>
      <c r="G9" s="9"/>
      <c r="H9" s="9">
        <v>181</v>
      </c>
      <c r="I9" s="9"/>
      <c r="J9" s="9">
        <v>2</v>
      </c>
      <c r="K9" s="9"/>
      <c r="L9" s="9"/>
      <c r="M9" s="9">
        <v>82</v>
      </c>
      <c r="N9" s="9"/>
      <c r="O9" s="9"/>
      <c r="P9" s="9"/>
      <c r="Q9" s="9"/>
      <c r="R9" s="9"/>
      <c r="S9" s="9"/>
      <c r="T9" s="9"/>
      <c r="U9" s="9"/>
      <c r="V9" s="9">
        <v>0</v>
      </c>
      <c r="W9" s="9"/>
      <c r="X9" s="9"/>
      <c r="Y9" s="197">
        <f>SUM(C9:X9)</f>
        <v>265</v>
      </c>
      <c r="AA9" s="270" t="s">
        <v>270</v>
      </c>
      <c r="AB9" s="271"/>
      <c r="AC9" s="77">
        <f>B17/Y5</f>
        <v>28.994310954063604</v>
      </c>
      <c r="AD9" s="74">
        <f>B25/Y9</f>
        <v>2563.5788301886791</v>
      </c>
    </row>
    <row r="12" spans="1:42" ht="13.5" thickBot="1" x14ac:dyDescent="0.25"/>
    <row r="13" spans="1:42" ht="83.25" thickBot="1" x14ac:dyDescent="0.25">
      <c r="A13" s="71" t="s">
        <v>277</v>
      </c>
      <c r="B13" s="72" t="s">
        <v>97</v>
      </c>
      <c r="C13" s="186" t="s">
        <v>40</v>
      </c>
      <c r="D13" s="186" t="s">
        <v>41</v>
      </c>
      <c r="E13" s="186" t="s">
        <v>43</v>
      </c>
      <c r="F13" s="272" t="s">
        <v>103</v>
      </c>
      <c r="G13" s="272"/>
      <c r="H13" s="186" t="s">
        <v>44</v>
      </c>
      <c r="I13" s="186" t="s">
        <v>6</v>
      </c>
      <c r="J13" s="186" t="s">
        <v>7</v>
      </c>
      <c r="K13" s="186" t="s">
        <v>8</v>
      </c>
      <c r="L13" s="186" t="s">
        <v>9</v>
      </c>
      <c r="M13" s="186" t="s">
        <v>45</v>
      </c>
      <c r="N13" s="186" t="s">
        <v>11</v>
      </c>
      <c r="O13" s="186" t="s">
        <v>12</v>
      </c>
      <c r="P13" s="186" t="s">
        <v>13</v>
      </c>
      <c r="Q13" s="186" t="s">
        <v>14</v>
      </c>
      <c r="R13" s="186" t="s">
        <v>15</v>
      </c>
      <c r="S13" s="186" t="s">
        <v>16</v>
      </c>
      <c r="T13" s="186" t="s">
        <v>17</v>
      </c>
      <c r="U13" s="186" t="s">
        <v>18</v>
      </c>
      <c r="V13" s="186" t="s">
        <v>19</v>
      </c>
      <c r="W13" s="186" t="s">
        <v>49</v>
      </c>
      <c r="X13" s="186" t="s">
        <v>20</v>
      </c>
      <c r="Y13" s="187" t="s">
        <v>21</v>
      </c>
      <c r="AD13" s="5"/>
      <c r="AF13" s="5"/>
      <c r="AH13" s="5"/>
      <c r="AJ13" s="5"/>
      <c r="AL13" s="5"/>
      <c r="AM13" s="14"/>
      <c r="AN13" s="15"/>
      <c r="AP13" s="5"/>
    </row>
    <row r="14" spans="1:42" ht="13.5" thickBot="1" x14ac:dyDescent="0.25">
      <c r="A14" s="30" t="s">
        <v>37</v>
      </c>
      <c r="B14" s="31" t="s">
        <v>42</v>
      </c>
      <c r="C14" s="58">
        <v>3</v>
      </c>
      <c r="D14" s="58">
        <v>5</v>
      </c>
      <c r="E14" s="58">
        <v>1</v>
      </c>
      <c r="F14" s="58">
        <v>2</v>
      </c>
      <c r="G14" s="58">
        <v>2</v>
      </c>
      <c r="H14" s="58">
        <v>20</v>
      </c>
      <c r="I14" s="58"/>
      <c r="J14" s="58"/>
      <c r="K14" s="58"/>
      <c r="L14" s="58"/>
      <c r="M14" s="58">
        <v>7</v>
      </c>
      <c r="N14" s="58">
        <v>9</v>
      </c>
      <c r="O14" s="58">
        <v>10</v>
      </c>
      <c r="P14" s="58">
        <v>11</v>
      </c>
      <c r="Q14" s="58">
        <v>12</v>
      </c>
      <c r="R14" s="58">
        <v>13</v>
      </c>
      <c r="S14" s="58">
        <v>14</v>
      </c>
      <c r="T14" s="198">
        <v>15</v>
      </c>
      <c r="U14" s="198">
        <v>15</v>
      </c>
      <c r="V14" s="198">
        <v>15</v>
      </c>
      <c r="W14" s="198">
        <v>15</v>
      </c>
      <c r="X14" s="58"/>
      <c r="Y14" s="199"/>
      <c r="AA14" s="5"/>
      <c r="AB14" s="5"/>
      <c r="AC14" s="5"/>
      <c r="AD14" s="5"/>
      <c r="AE14" s="5"/>
      <c r="AF14" s="5"/>
      <c r="AH14" s="5"/>
      <c r="AJ14" s="5"/>
      <c r="AL14" s="5"/>
      <c r="AM14" s="14"/>
      <c r="AN14" s="15"/>
      <c r="AP14" s="5"/>
    </row>
    <row r="15" spans="1:42" ht="13.5" thickBot="1" x14ac:dyDescent="0.25">
      <c r="A15" s="281" t="s">
        <v>38</v>
      </c>
      <c r="B15" s="282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18"/>
      <c r="U15" s="18"/>
      <c r="V15" s="18"/>
      <c r="W15" s="18"/>
      <c r="X15" s="27"/>
      <c r="Y15" s="191"/>
      <c r="AA15" s="5"/>
      <c r="AB15" s="5"/>
      <c r="AC15" s="5"/>
      <c r="AD15" s="5"/>
      <c r="AE15" s="5"/>
      <c r="AF15" s="5"/>
      <c r="AH15" s="5"/>
      <c r="AJ15" s="5"/>
      <c r="AL15" s="5"/>
      <c r="AM15" s="14"/>
      <c r="AN15" s="15"/>
      <c r="AP15" s="5"/>
    </row>
    <row r="16" spans="1:42" x14ac:dyDescent="0.2">
      <c r="A16" s="6">
        <v>55</v>
      </c>
      <c r="B16" s="43">
        <f>739247.77</f>
        <v>739247.77</v>
      </c>
      <c r="C16" s="32">
        <f t="shared" ref="C16:X16" si="0">$B16*C4/$Y4</f>
        <v>9621.4460303687647</v>
      </c>
      <c r="D16" s="32">
        <f t="shared" si="0"/>
        <v>6414.2973535791762</v>
      </c>
      <c r="E16" s="32">
        <f t="shared" si="0"/>
        <v>6414.2973535791762</v>
      </c>
      <c r="F16" s="32">
        <f t="shared" si="0"/>
        <v>25657.189414316705</v>
      </c>
      <c r="G16" s="32">
        <f t="shared" si="0"/>
        <v>0</v>
      </c>
      <c r="H16" s="32">
        <f>$B16*H4/$Y4</f>
        <v>524368.80865509761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0</v>
      </c>
      <c r="M16" s="32">
        <f t="shared" si="0"/>
        <v>93007.311626898052</v>
      </c>
      <c r="N16" s="32">
        <f t="shared" si="0"/>
        <v>8017.87169197397</v>
      </c>
      <c r="O16" s="32">
        <f t="shared" si="0"/>
        <v>11225.020368763559</v>
      </c>
      <c r="P16" s="33">
        <f t="shared" si="0"/>
        <v>9621.4460303687647</v>
      </c>
      <c r="Q16" s="33">
        <f t="shared" si="0"/>
        <v>6414.2973535791762</v>
      </c>
      <c r="R16" s="32">
        <f t="shared" si="0"/>
        <v>6414.2973535791762</v>
      </c>
      <c r="S16" s="32">
        <f t="shared" si="0"/>
        <v>8017.87169197397</v>
      </c>
      <c r="T16" s="32">
        <f t="shared" si="0"/>
        <v>8017.87169197397</v>
      </c>
      <c r="U16" s="32">
        <f t="shared" si="0"/>
        <v>8017.87169197397</v>
      </c>
      <c r="V16" s="33">
        <f t="shared" si="0"/>
        <v>8017.87169197397</v>
      </c>
      <c r="W16" s="33">
        <f t="shared" si="0"/>
        <v>0</v>
      </c>
      <c r="X16" s="32">
        <f t="shared" si="0"/>
        <v>0</v>
      </c>
      <c r="Y16" s="200">
        <f>SUM(C16:X16)</f>
        <v>739247.77000000025</v>
      </c>
    </row>
    <row r="17" spans="1:42" ht="13.5" thickBot="1" x14ac:dyDescent="0.25">
      <c r="A17" s="8">
        <v>6</v>
      </c>
      <c r="B17" s="43">
        <f>8205.39</f>
        <v>8205.39</v>
      </c>
      <c r="C17" s="35">
        <f t="shared" ref="C17:X17" si="1">$B17*C5/$Y5</f>
        <v>0</v>
      </c>
      <c r="D17" s="35">
        <f t="shared" si="1"/>
        <v>0</v>
      </c>
      <c r="E17" s="35">
        <f t="shared" si="1"/>
        <v>0</v>
      </c>
      <c r="F17" s="35">
        <f t="shared" si="1"/>
        <v>0</v>
      </c>
      <c r="G17" s="35">
        <f t="shared" si="1"/>
        <v>0</v>
      </c>
      <c r="H17" s="35">
        <f>$B17*H5/$Y5</f>
        <v>5247.9702826855118</v>
      </c>
      <c r="I17" s="35">
        <f t="shared" si="1"/>
        <v>0</v>
      </c>
      <c r="J17" s="35">
        <f t="shared" si="1"/>
        <v>57.988621908127207</v>
      </c>
      <c r="K17" s="35">
        <f t="shared" si="1"/>
        <v>0</v>
      </c>
      <c r="L17" s="35">
        <f t="shared" si="1"/>
        <v>0</v>
      </c>
      <c r="M17" s="35">
        <f t="shared" si="1"/>
        <v>2377.5334982332156</v>
      </c>
      <c r="N17" s="35">
        <f t="shared" si="1"/>
        <v>0</v>
      </c>
      <c r="O17" s="35">
        <f t="shared" si="1"/>
        <v>0</v>
      </c>
      <c r="P17" s="35">
        <f t="shared" si="1"/>
        <v>0</v>
      </c>
      <c r="Q17" s="35">
        <f t="shared" si="1"/>
        <v>0</v>
      </c>
      <c r="R17" s="35">
        <f t="shared" si="1"/>
        <v>0</v>
      </c>
      <c r="S17" s="35">
        <f t="shared" si="1"/>
        <v>0</v>
      </c>
      <c r="T17" s="35">
        <f t="shared" si="1"/>
        <v>0</v>
      </c>
      <c r="U17" s="35">
        <f t="shared" si="1"/>
        <v>0</v>
      </c>
      <c r="V17" s="36">
        <f t="shared" si="1"/>
        <v>521.89759717314485</v>
      </c>
      <c r="W17" s="36">
        <f t="shared" si="1"/>
        <v>0</v>
      </c>
      <c r="X17" s="35">
        <f t="shared" si="1"/>
        <v>0</v>
      </c>
      <c r="Y17" s="200">
        <f>SUM(C17:X17)</f>
        <v>8205.39</v>
      </c>
    </row>
    <row r="18" spans="1:42" s="18" customFormat="1" ht="13.5" thickBot="1" x14ac:dyDescent="0.25">
      <c r="A18" s="275" t="s">
        <v>50</v>
      </c>
      <c r="B18" s="276"/>
      <c r="C18" s="37">
        <v>7859.2939696312369</v>
      </c>
      <c r="D18" s="37">
        <v>3393.9726464208243</v>
      </c>
      <c r="E18" s="37">
        <v>4935.8426464208233</v>
      </c>
      <c r="F18" s="37">
        <v>10677.590585683294</v>
      </c>
      <c r="G18" s="37">
        <v>7984.75</v>
      </c>
      <c r="H18" s="37">
        <v>666110.08106221701</v>
      </c>
      <c r="I18" s="37">
        <v>0</v>
      </c>
      <c r="J18" s="37">
        <v>-57.988621908127207</v>
      </c>
      <c r="K18" s="37">
        <v>0</v>
      </c>
      <c r="L18" s="37">
        <v>0</v>
      </c>
      <c r="M18" s="37">
        <v>82843.494874868731</v>
      </c>
      <c r="N18" s="37">
        <v>39222.228308026031</v>
      </c>
      <c r="O18" s="37">
        <v>76616.509631236433</v>
      </c>
      <c r="P18" s="37">
        <v>52207.373969631233</v>
      </c>
      <c r="Q18" s="37">
        <v>29758.932646420828</v>
      </c>
      <c r="R18" s="37">
        <v>26806.712646420827</v>
      </c>
      <c r="S18" s="37">
        <v>51571.818308026035</v>
      </c>
      <c r="T18" s="37">
        <v>88756.178308026036</v>
      </c>
      <c r="U18" s="37">
        <v>13884.948308026029</v>
      </c>
      <c r="V18" s="37">
        <v>4877.570710852885</v>
      </c>
      <c r="W18" s="37">
        <v>10235.15</v>
      </c>
      <c r="X18" s="37">
        <v>0</v>
      </c>
      <c r="Y18" s="200">
        <v>1191101.8</v>
      </c>
    </row>
    <row r="19" spans="1:42" ht="13.5" thickBot="1" x14ac:dyDescent="0.25">
      <c r="A19" s="21" t="s">
        <v>47</v>
      </c>
      <c r="B19" s="22"/>
      <c r="C19" s="201">
        <f t="shared" ref="C19:X19" si="2">SUM(C16:C18)</f>
        <v>17480.740000000002</v>
      </c>
      <c r="D19" s="201">
        <f t="shared" si="2"/>
        <v>9808.27</v>
      </c>
      <c r="E19" s="201">
        <f t="shared" si="2"/>
        <v>11350.14</v>
      </c>
      <c r="F19" s="201">
        <f t="shared" si="2"/>
        <v>36334.78</v>
      </c>
      <c r="G19" s="201">
        <f t="shared" si="2"/>
        <v>7984.75</v>
      </c>
      <c r="H19" s="201">
        <f>SUM(H16:H18)</f>
        <v>1195726.8600000001</v>
      </c>
      <c r="I19" s="201">
        <f t="shared" si="2"/>
        <v>0</v>
      </c>
      <c r="J19" s="201">
        <f t="shared" si="2"/>
        <v>0</v>
      </c>
      <c r="K19" s="201">
        <f t="shared" si="2"/>
        <v>0</v>
      </c>
      <c r="L19" s="201">
        <f t="shared" si="2"/>
        <v>0</v>
      </c>
      <c r="M19" s="201">
        <f t="shared" si="2"/>
        <v>178228.34</v>
      </c>
      <c r="N19" s="201">
        <f t="shared" si="2"/>
        <v>47240.1</v>
      </c>
      <c r="O19" s="201">
        <f t="shared" si="2"/>
        <v>87841.53</v>
      </c>
      <c r="P19" s="201">
        <f t="shared" si="2"/>
        <v>61828.82</v>
      </c>
      <c r="Q19" s="201">
        <f t="shared" si="2"/>
        <v>36173.230000000003</v>
      </c>
      <c r="R19" s="201">
        <f t="shared" si="2"/>
        <v>33221.01</v>
      </c>
      <c r="S19" s="201">
        <f t="shared" si="2"/>
        <v>59589.69</v>
      </c>
      <c r="T19" s="201">
        <f t="shared" si="2"/>
        <v>96774.05</v>
      </c>
      <c r="U19" s="201">
        <f t="shared" si="2"/>
        <v>21902.82</v>
      </c>
      <c r="V19" s="201">
        <f t="shared" si="2"/>
        <v>13417.34</v>
      </c>
      <c r="W19" s="201">
        <f t="shared" si="2"/>
        <v>10235.15</v>
      </c>
      <c r="X19" s="201">
        <f t="shared" si="2"/>
        <v>0</v>
      </c>
      <c r="Y19" s="200">
        <f t="shared" ref="Y19:Y21" si="3">SUM(C19:X19)</f>
        <v>1925137.6200000003</v>
      </c>
    </row>
    <row r="20" spans="1:42" ht="13.5" thickBot="1" x14ac:dyDescent="0.25">
      <c r="A20" s="79">
        <v>999</v>
      </c>
      <c r="B20" s="40">
        <v>284903.75</v>
      </c>
      <c r="C20" s="38">
        <f t="shared" ref="C20:X20" si="4">MAX(0,C19/$Y19*$B20)</f>
        <v>2586.9986265059842</v>
      </c>
      <c r="D20" s="38">
        <f t="shared" si="4"/>
        <v>1451.5392951556885</v>
      </c>
      <c r="E20" s="38">
        <f t="shared" si="4"/>
        <v>1679.7227457562226</v>
      </c>
      <c r="F20" s="38">
        <f t="shared" si="4"/>
        <v>5377.2337987062956</v>
      </c>
      <c r="G20" s="38">
        <f t="shared" si="4"/>
        <v>1181.6740757538671</v>
      </c>
      <c r="H20" s="38">
        <f t="shared" si="4"/>
        <v>176957.25378309577</v>
      </c>
      <c r="I20" s="38">
        <f t="shared" si="4"/>
        <v>0</v>
      </c>
      <c r="J20" s="38">
        <f t="shared" si="4"/>
        <v>0</v>
      </c>
      <c r="K20" s="38">
        <f t="shared" si="4"/>
        <v>0</v>
      </c>
      <c r="L20" s="38">
        <f t="shared" si="4"/>
        <v>0</v>
      </c>
      <c r="M20" s="38">
        <f t="shared" si="4"/>
        <v>26376.255855555402</v>
      </c>
      <c r="N20" s="38">
        <f t="shared" si="4"/>
        <v>6991.1270241423035</v>
      </c>
      <c r="O20" s="38">
        <f t="shared" si="4"/>
        <v>12999.788193187715</v>
      </c>
      <c r="P20" s="38">
        <f t="shared" si="4"/>
        <v>9150.131654522962</v>
      </c>
      <c r="Q20" s="38">
        <f t="shared" si="4"/>
        <v>5353.3257932035531</v>
      </c>
      <c r="R20" s="38">
        <f t="shared" si="4"/>
        <v>4916.4227167237523</v>
      </c>
      <c r="S20" s="38">
        <f t="shared" si="4"/>
        <v>8818.7597426606299</v>
      </c>
      <c r="T20" s="38">
        <f t="shared" si="4"/>
        <v>14321.724047804695</v>
      </c>
      <c r="U20" s="38">
        <f t="shared" si="4"/>
        <v>3241.4282951755931</v>
      </c>
      <c r="V20" s="38">
        <f t="shared" si="4"/>
        <v>1985.6505017158197</v>
      </c>
      <c r="W20" s="38">
        <f t="shared" si="4"/>
        <v>1514.7138503337228</v>
      </c>
      <c r="X20" s="38">
        <f t="shared" si="4"/>
        <v>0</v>
      </c>
      <c r="Y20" s="200">
        <f t="shared" si="3"/>
        <v>284903.75</v>
      </c>
    </row>
    <row r="21" spans="1:42" ht="13.5" thickBot="1" x14ac:dyDescent="0.25">
      <c r="A21" s="23" t="s">
        <v>48</v>
      </c>
      <c r="B21" s="24"/>
      <c r="C21" s="201">
        <f>C19+C20</f>
        <v>20067.738626505987</v>
      </c>
      <c r="D21" s="201">
        <f t="shared" ref="D21:X21" si="5">D19+D20</f>
        <v>11259.809295155688</v>
      </c>
      <c r="E21" s="201">
        <f t="shared" si="5"/>
        <v>13029.862745756222</v>
      </c>
      <c r="F21" s="201">
        <f t="shared" si="5"/>
        <v>41712.013798706292</v>
      </c>
      <c r="G21" s="201">
        <f t="shared" si="5"/>
        <v>9166.4240757538664</v>
      </c>
      <c r="H21" s="201">
        <f>H19+H20</f>
        <v>1372684.113783096</v>
      </c>
      <c r="I21" s="201">
        <f t="shared" si="5"/>
        <v>0</v>
      </c>
      <c r="J21" s="201">
        <f t="shared" si="5"/>
        <v>0</v>
      </c>
      <c r="K21" s="201">
        <f t="shared" si="5"/>
        <v>0</v>
      </c>
      <c r="L21" s="201">
        <f t="shared" si="5"/>
        <v>0</v>
      </c>
      <c r="M21" s="201">
        <f t="shared" si="5"/>
        <v>204604.59585555541</v>
      </c>
      <c r="N21" s="201">
        <f t="shared" si="5"/>
        <v>54231.227024142303</v>
      </c>
      <c r="O21" s="201">
        <f t="shared" si="5"/>
        <v>100841.31819318772</v>
      </c>
      <c r="P21" s="201">
        <f t="shared" si="5"/>
        <v>70978.951654522956</v>
      </c>
      <c r="Q21" s="201">
        <f t="shared" si="5"/>
        <v>41526.555793203559</v>
      </c>
      <c r="R21" s="201">
        <f t="shared" si="5"/>
        <v>38137.432716723757</v>
      </c>
      <c r="S21" s="201">
        <f t="shared" si="5"/>
        <v>68408.449742660625</v>
      </c>
      <c r="T21" s="201">
        <f t="shared" si="5"/>
        <v>111095.77404780471</v>
      </c>
      <c r="U21" s="201">
        <f t="shared" si="5"/>
        <v>25144.248295175592</v>
      </c>
      <c r="V21" s="201">
        <f t="shared" si="5"/>
        <v>15402.99050171582</v>
      </c>
      <c r="W21" s="201">
        <f t="shared" si="5"/>
        <v>11749.863850333722</v>
      </c>
      <c r="X21" s="201">
        <f t="shared" si="5"/>
        <v>0</v>
      </c>
      <c r="Y21" s="200">
        <f t="shared" si="3"/>
        <v>2210041.37</v>
      </c>
    </row>
    <row r="22" spans="1:42" s="18" customFormat="1" ht="13.5" thickBot="1" x14ac:dyDescent="0.25">
      <c r="A22" s="23"/>
      <c r="B22" s="25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202"/>
    </row>
    <row r="23" spans="1:42" ht="13.5" thickBot="1" x14ac:dyDescent="0.25">
      <c r="A23" s="283" t="s">
        <v>39</v>
      </c>
      <c r="B23" s="284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0"/>
      <c r="AA23" s="5"/>
      <c r="AB23" s="5"/>
      <c r="AC23" s="5"/>
      <c r="AD23" s="5"/>
      <c r="AE23" s="5"/>
      <c r="AF23" s="5"/>
      <c r="AH23" s="5"/>
      <c r="AJ23" s="5"/>
      <c r="AL23" s="5"/>
      <c r="AM23" s="14"/>
      <c r="AN23" s="15"/>
      <c r="AP23" s="5"/>
    </row>
    <row r="24" spans="1:42" x14ac:dyDescent="0.2">
      <c r="A24" s="28">
        <v>55</v>
      </c>
      <c r="B24" s="41">
        <f>739247.77-671143</f>
        <v>68104.770000000019</v>
      </c>
      <c r="C24" s="33">
        <f t="shared" ref="C24:W24" si="6">$B24*C8/$Y8</f>
        <v>894.15452954048169</v>
      </c>
      <c r="D24" s="33">
        <f t="shared" si="6"/>
        <v>596.10301969365446</v>
      </c>
      <c r="E24" s="33">
        <f t="shared" si="6"/>
        <v>596.10301969365446</v>
      </c>
      <c r="F24" s="33">
        <f t="shared" si="6"/>
        <v>2384.4120787746178</v>
      </c>
      <c r="G24" s="33">
        <f t="shared" si="6"/>
        <v>0</v>
      </c>
      <c r="H24" s="33">
        <f t="shared" si="6"/>
        <v>48731.421859956252</v>
      </c>
      <c r="I24" s="33">
        <f t="shared" si="6"/>
        <v>0</v>
      </c>
      <c r="J24" s="33">
        <f t="shared" si="6"/>
        <v>0</v>
      </c>
      <c r="K24" s="33">
        <f t="shared" si="6"/>
        <v>0</v>
      </c>
      <c r="L24" s="33">
        <f t="shared" si="6"/>
        <v>0</v>
      </c>
      <c r="M24" s="33">
        <f t="shared" si="6"/>
        <v>8643.4937855579883</v>
      </c>
      <c r="N24" s="33">
        <f t="shared" si="6"/>
        <v>745.12877461706807</v>
      </c>
      <c r="O24" s="33">
        <f t="shared" si="6"/>
        <v>1043.1802844638953</v>
      </c>
      <c r="P24" s="33">
        <f t="shared" si="6"/>
        <v>894.15452954048169</v>
      </c>
      <c r="Q24" s="33">
        <f t="shared" si="6"/>
        <v>596.10301969365446</v>
      </c>
      <c r="R24" s="33">
        <f t="shared" si="6"/>
        <v>596.10301969365446</v>
      </c>
      <c r="S24" s="33">
        <f t="shared" si="6"/>
        <v>745.12877461706807</v>
      </c>
      <c r="T24" s="33">
        <f t="shared" si="6"/>
        <v>745.12877461706807</v>
      </c>
      <c r="U24" s="33">
        <f t="shared" si="6"/>
        <v>745.12877461706807</v>
      </c>
      <c r="V24" s="33">
        <f t="shared" si="6"/>
        <v>149.02575492341361</v>
      </c>
      <c r="W24" s="33">
        <f t="shared" si="6"/>
        <v>0</v>
      </c>
      <c r="X24" s="33"/>
      <c r="Y24" s="200">
        <f>SUM(C24:X24)</f>
        <v>68104.770000000019</v>
      </c>
    </row>
    <row r="25" spans="1:42" ht="13.5" thickBot="1" x14ac:dyDescent="0.25">
      <c r="A25" s="29">
        <v>6</v>
      </c>
      <c r="B25" s="42">
        <f>8205.39+671143</f>
        <v>679348.39</v>
      </c>
      <c r="C25" s="36">
        <f t="shared" ref="C25:W25" si="7">$B25*C9/$Y9</f>
        <v>0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  <c r="H25" s="36">
        <f t="shared" si="7"/>
        <v>464007.76826415095</v>
      </c>
      <c r="I25" s="36">
        <f t="shared" si="7"/>
        <v>0</v>
      </c>
      <c r="J25" s="36">
        <f t="shared" si="7"/>
        <v>5127.1576603773583</v>
      </c>
      <c r="K25" s="36">
        <f t="shared" si="7"/>
        <v>0</v>
      </c>
      <c r="L25" s="36">
        <f t="shared" si="7"/>
        <v>0</v>
      </c>
      <c r="M25" s="36">
        <f t="shared" si="7"/>
        <v>210213.46407547171</v>
      </c>
      <c r="N25" s="36">
        <f t="shared" si="7"/>
        <v>0</v>
      </c>
      <c r="O25" s="36">
        <f t="shared" si="7"/>
        <v>0</v>
      </c>
      <c r="P25" s="36">
        <f t="shared" si="7"/>
        <v>0</v>
      </c>
      <c r="Q25" s="36">
        <f t="shared" si="7"/>
        <v>0</v>
      </c>
      <c r="R25" s="36">
        <f t="shared" si="7"/>
        <v>0</v>
      </c>
      <c r="S25" s="36">
        <f t="shared" si="7"/>
        <v>0</v>
      </c>
      <c r="T25" s="36">
        <f t="shared" si="7"/>
        <v>0</v>
      </c>
      <c r="U25" s="36">
        <f t="shared" si="7"/>
        <v>0</v>
      </c>
      <c r="V25" s="36">
        <f t="shared" si="7"/>
        <v>0</v>
      </c>
      <c r="W25" s="36">
        <f t="shared" si="7"/>
        <v>0</v>
      </c>
      <c r="X25" s="36">
        <v>0</v>
      </c>
      <c r="Y25" s="200">
        <f>SUM(C25:X25)</f>
        <v>679348.39</v>
      </c>
    </row>
    <row r="26" spans="1:42" s="18" customFormat="1" ht="13.5" thickBot="1" x14ac:dyDescent="0.25">
      <c r="A26" s="275" t="s">
        <v>50</v>
      </c>
      <c r="B26" s="276"/>
      <c r="C26" s="37">
        <v>7859.2939696312369</v>
      </c>
      <c r="D26" s="37">
        <v>3393.9726464208243</v>
      </c>
      <c r="E26" s="37">
        <v>4935.8426464208233</v>
      </c>
      <c r="F26" s="37">
        <v>10677.590585683294</v>
      </c>
      <c r="G26" s="37">
        <v>7984.75</v>
      </c>
      <c r="H26" s="37">
        <v>666110.08106221701</v>
      </c>
      <c r="I26" s="37">
        <v>0</v>
      </c>
      <c r="J26" s="37">
        <v>-57.988621908127207</v>
      </c>
      <c r="K26" s="37">
        <v>0</v>
      </c>
      <c r="L26" s="37">
        <v>0</v>
      </c>
      <c r="M26" s="37">
        <v>82843.494874868731</v>
      </c>
      <c r="N26" s="37">
        <v>39222.228308026031</v>
      </c>
      <c r="O26" s="37">
        <v>76616.509631236433</v>
      </c>
      <c r="P26" s="37">
        <v>52207.373969631233</v>
      </c>
      <c r="Q26" s="37">
        <v>29758.932646420828</v>
      </c>
      <c r="R26" s="37">
        <v>26806.712646420827</v>
      </c>
      <c r="S26" s="37">
        <v>51571.818308026035</v>
      </c>
      <c r="T26" s="37">
        <v>88756.178308026036</v>
      </c>
      <c r="U26" s="37">
        <v>13884.948308026029</v>
      </c>
      <c r="V26" s="37">
        <v>4877.570710852885</v>
      </c>
      <c r="W26" s="37">
        <v>10235.15</v>
      </c>
      <c r="X26" s="37">
        <v>0</v>
      </c>
      <c r="Y26" s="200">
        <v>1191101.8</v>
      </c>
      <c r="Z26" s="1"/>
    </row>
    <row r="27" spans="1:42" x14ac:dyDescent="0.2">
      <c r="A27" s="285" t="s">
        <v>99</v>
      </c>
      <c r="B27" s="286"/>
      <c r="C27" s="33"/>
      <c r="D27" s="33"/>
      <c r="E27" s="33"/>
      <c r="F27" s="33"/>
      <c r="G27" s="33"/>
      <c r="H27" s="33">
        <v>28964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200">
        <f>SUM(C27:X27)</f>
        <v>28964</v>
      </c>
    </row>
    <row r="28" spans="1:42" x14ac:dyDescent="0.2">
      <c r="A28" s="277" t="s">
        <v>100</v>
      </c>
      <c r="B28" s="278"/>
      <c r="C28" s="47"/>
      <c r="D28" s="47"/>
      <c r="E28" s="47"/>
      <c r="F28" s="47"/>
      <c r="G28" s="47"/>
      <c r="H28" s="47">
        <v>26898</v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200">
        <f>SUM(C28:X28)</f>
        <v>26898</v>
      </c>
    </row>
    <row r="29" spans="1:42" ht="13.5" thickBot="1" x14ac:dyDescent="0.25">
      <c r="A29" s="279" t="s">
        <v>46</v>
      </c>
      <c r="B29" s="280"/>
      <c r="C29" s="36"/>
      <c r="D29" s="36"/>
      <c r="E29" s="36"/>
      <c r="F29" s="36"/>
      <c r="G29" s="36"/>
      <c r="H29" s="36">
        <v>1008320.56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200">
        <f>SUM(C29:X29)</f>
        <v>1008320.56</v>
      </c>
    </row>
    <row r="30" spans="1:42" ht="13.5" thickBot="1" x14ac:dyDescent="0.25">
      <c r="A30" s="45" t="s">
        <v>47</v>
      </c>
      <c r="B30" s="46"/>
      <c r="C30" s="201">
        <f>SUM(C24:C29)</f>
        <v>8753.4484991717181</v>
      </c>
      <c r="D30" s="201">
        <f>SUM(D24:D29)</f>
        <v>3990.0756661144787</v>
      </c>
      <c r="E30" s="201">
        <f t="shared" ref="E30:X30" si="8">SUM(E24:E29)</f>
        <v>5531.9456661144777</v>
      </c>
      <c r="F30" s="201">
        <f t="shared" si="8"/>
        <v>13062.002664457912</v>
      </c>
      <c r="G30" s="201">
        <f t="shared" si="8"/>
        <v>7984.75</v>
      </c>
      <c r="H30" s="37">
        <f>SUM(H24:H29)</f>
        <v>2243031.8311863244</v>
      </c>
      <c r="I30" s="201">
        <f t="shared" si="8"/>
        <v>0</v>
      </c>
      <c r="J30" s="201">
        <f t="shared" si="8"/>
        <v>5069.1690384692311</v>
      </c>
      <c r="K30" s="201">
        <f t="shared" si="8"/>
        <v>0</v>
      </c>
      <c r="L30" s="201">
        <f t="shared" si="8"/>
        <v>0</v>
      </c>
      <c r="M30" s="201">
        <f t="shared" si="8"/>
        <v>301700.45273589843</v>
      </c>
      <c r="N30" s="201">
        <f t="shared" si="8"/>
        <v>39967.357082643102</v>
      </c>
      <c r="O30" s="201">
        <f t="shared" si="8"/>
        <v>77659.689915700335</v>
      </c>
      <c r="P30" s="201">
        <f t="shared" si="8"/>
        <v>53101.528499171713</v>
      </c>
      <c r="Q30" s="201">
        <f t="shared" si="8"/>
        <v>30355.035666114483</v>
      </c>
      <c r="R30" s="201">
        <f t="shared" si="8"/>
        <v>27402.815666114482</v>
      </c>
      <c r="S30" s="201">
        <f t="shared" si="8"/>
        <v>52316.947082643106</v>
      </c>
      <c r="T30" s="37">
        <f t="shared" si="8"/>
        <v>89501.307082643107</v>
      </c>
      <c r="U30" s="37">
        <f t="shared" si="8"/>
        <v>14630.077082643096</v>
      </c>
      <c r="V30" s="37">
        <f t="shared" si="8"/>
        <v>5026.5964657762988</v>
      </c>
      <c r="W30" s="37">
        <f t="shared" si="8"/>
        <v>10235.15</v>
      </c>
      <c r="X30" s="201">
        <f t="shared" si="8"/>
        <v>0</v>
      </c>
      <c r="Y30" s="200">
        <f>SUM(C30:X30)</f>
        <v>2989320.1800000006</v>
      </c>
    </row>
    <row r="31" spans="1:42" ht="13.5" thickBot="1" x14ac:dyDescent="0.25">
      <c r="A31" s="79">
        <v>999</v>
      </c>
      <c r="B31" s="40">
        <v>284903.75</v>
      </c>
      <c r="C31" s="38">
        <f t="shared" ref="C31:X31" si="9">MAX(0,C30/$Y30*$B31)</f>
        <v>834.266707036345</v>
      </c>
      <c r="D31" s="38">
        <f t="shared" si="9"/>
        <v>380.2829578662807</v>
      </c>
      <c r="E31" s="38">
        <f t="shared" si="9"/>
        <v>527.2342774176376</v>
      </c>
      <c r="F31" s="38">
        <f t="shared" si="9"/>
        <v>1244.9029603828019</v>
      </c>
      <c r="G31" s="38">
        <f t="shared" si="9"/>
        <v>761.0042019026879</v>
      </c>
      <c r="H31" s="38">
        <f t="shared" si="9"/>
        <v>213777.09365155746</v>
      </c>
      <c r="I31" s="38">
        <f t="shared" si="9"/>
        <v>0</v>
      </c>
      <c r="J31" s="38">
        <f t="shared" si="9"/>
        <v>483.12833068412829</v>
      </c>
      <c r="K31" s="38">
        <f t="shared" si="9"/>
        <v>0</v>
      </c>
      <c r="L31" s="38">
        <f t="shared" si="9"/>
        <v>0</v>
      </c>
      <c r="M31" s="38">
        <f t="shared" si="9"/>
        <v>28754.226775786596</v>
      </c>
      <c r="N31" s="38">
        <f t="shared" si="9"/>
        <v>3809.1770786607667</v>
      </c>
      <c r="O31" s="38">
        <f t="shared" si="9"/>
        <v>7401.5279557040312</v>
      </c>
      <c r="P31" s="38">
        <f t="shared" si="9"/>
        <v>5060.9582410626517</v>
      </c>
      <c r="Q31" s="38">
        <f t="shared" si="9"/>
        <v>2893.0535947674102</v>
      </c>
      <c r="R31" s="38">
        <f t="shared" si="9"/>
        <v>2611.685759213241</v>
      </c>
      <c r="S31" s="38">
        <f t="shared" si="9"/>
        <v>4986.1819794748708</v>
      </c>
      <c r="T31" s="38">
        <f t="shared" si="9"/>
        <v>8530.1193857884355</v>
      </c>
      <c r="U31" s="38">
        <f t="shared" si="9"/>
        <v>1394.3517497794689</v>
      </c>
      <c r="V31" s="38">
        <f t="shared" si="9"/>
        <v>479.07085778827945</v>
      </c>
      <c r="W31" s="38">
        <f t="shared" si="9"/>
        <v>975.48353512687265</v>
      </c>
      <c r="X31" s="38">
        <f t="shared" si="9"/>
        <v>0</v>
      </c>
      <c r="Y31" s="200">
        <f t="shared" ref="Y31" si="10">SUM(C31:X31)</f>
        <v>284903.74999999994</v>
      </c>
    </row>
    <row r="32" spans="1:42" ht="13.5" thickBot="1" x14ac:dyDescent="0.25">
      <c r="A32" s="23" t="s">
        <v>48</v>
      </c>
      <c r="B32" s="24"/>
      <c r="C32" s="203">
        <f>C30+C31</f>
        <v>9587.715206208064</v>
      </c>
      <c r="D32" s="203">
        <f t="shared" ref="D32" si="11">D30+D31</f>
        <v>4370.3586239807591</v>
      </c>
      <c r="E32" s="203">
        <f t="shared" ref="E32" si="12">E30+E31</f>
        <v>6059.1799435321154</v>
      </c>
      <c r="F32" s="203">
        <f t="shared" ref="F32" si="13">F30+F31</f>
        <v>14306.905624840714</v>
      </c>
      <c r="G32" s="203">
        <f t="shared" ref="G32" si="14">G30+G31</f>
        <v>8745.7542019026878</v>
      </c>
      <c r="H32" s="203">
        <f>H30+H31</f>
        <v>2456808.9248378817</v>
      </c>
      <c r="I32" s="203">
        <f t="shared" ref="I32" si="15">I30+I31</f>
        <v>0</v>
      </c>
      <c r="J32" s="203">
        <f t="shared" ref="J32" si="16">J30+J31</f>
        <v>5552.2973691533589</v>
      </c>
      <c r="K32" s="203">
        <f t="shared" ref="K32" si="17">K30+K31</f>
        <v>0</v>
      </c>
      <c r="L32" s="203">
        <f t="shared" ref="L32" si="18">L30+L31</f>
        <v>0</v>
      </c>
      <c r="M32" s="203">
        <f t="shared" ref="M32" si="19">M30+M31</f>
        <v>330454.67951168504</v>
      </c>
      <c r="N32" s="203">
        <f t="shared" ref="N32" si="20">N30+N31</f>
        <v>43776.534161303869</v>
      </c>
      <c r="O32" s="203">
        <f t="shared" ref="O32" si="21">O30+O31</f>
        <v>85061.217871404369</v>
      </c>
      <c r="P32" s="203">
        <f t="shared" ref="P32" si="22">P30+P31</f>
        <v>58162.486740234366</v>
      </c>
      <c r="Q32" s="203">
        <f t="shared" ref="Q32" si="23">Q30+Q31</f>
        <v>33248.08926088189</v>
      </c>
      <c r="R32" s="203">
        <f t="shared" ref="R32" si="24">R30+R31</f>
        <v>30014.501425327722</v>
      </c>
      <c r="S32" s="203">
        <f t="shared" ref="S32" si="25">S30+S31</f>
        <v>57303.12906211798</v>
      </c>
      <c r="T32" s="203">
        <f t="shared" ref="T32" si="26">T30+T31</f>
        <v>98031.426468431542</v>
      </c>
      <c r="U32" s="203">
        <f t="shared" ref="U32" si="27">U30+U31</f>
        <v>16024.428832422565</v>
      </c>
      <c r="V32" s="203">
        <f t="shared" ref="V32:W32" si="28">V30+V31</f>
        <v>5505.6673235645785</v>
      </c>
      <c r="W32" s="203">
        <f t="shared" si="28"/>
        <v>11210.633535126872</v>
      </c>
      <c r="X32" s="203">
        <f t="shared" ref="X32" si="29">X30+X31</f>
        <v>0</v>
      </c>
      <c r="Y32" s="204">
        <f>SUM(C32:X32)</f>
        <v>3274223.9299999992</v>
      </c>
    </row>
    <row r="33" spans="1:42" ht="13.5" thickBot="1" x14ac:dyDescent="0.25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44"/>
    </row>
    <row r="34" spans="1:42" s="11" customFormat="1" ht="13.5" thickBot="1" x14ac:dyDescent="0.25">
      <c r="A34" s="273" t="s">
        <v>102</v>
      </c>
      <c r="B34" s="274"/>
      <c r="C34" s="97">
        <f>C21-C32</f>
        <v>10480.023420297923</v>
      </c>
      <c r="D34" s="97">
        <f>D21-D32</f>
        <v>6889.4506711749291</v>
      </c>
      <c r="E34" s="97">
        <f>E21-E32</f>
        <v>6970.6828022241061</v>
      </c>
      <c r="F34" s="251">
        <f>F21-F32</f>
        <v>27405.108173865578</v>
      </c>
      <c r="G34" s="252">
        <f>G21-G32</f>
        <v>420.66987385117864</v>
      </c>
      <c r="H34" s="97">
        <f>H21-H32+SUM(H27:H29)</f>
        <v>-19942.25105478568</v>
      </c>
      <c r="I34" s="97">
        <f t="shared" ref="I34:X34" si="30">I21-I32</f>
        <v>0</v>
      </c>
      <c r="J34" s="97">
        <f t="shared" si="30"/>
        <v>-5552.2973691533589</v>
      </c>
      <c r="K34" s="97">
        <f t="shared" si="30"/>
        <v>0</v>
      </c>
      <c r="L34" s="97">
        <f t="shared" si="30"/>
        <v>0</v>
      </c>
      <c r="M34" s="97">
        <f t="shared" si="30"/>
        <v>-125850.08365612963</v>
      </c>
      <c r="N34" s="97">
        <f t="shared" si="30"/>
        <v>10454.692862838434</v>
      </c>
      <c r="O34" s="97">
        <f t="shared" si="30"/>
        <v>15780.10032178335</v>
      </c>
      <c r="P34" s="97">
        <f t="shared" si="30"/>
        <v>12816.46491428859</v>
      </c>
      <c r="Q34" s="97">
        <f t="shared" si="30"/>
        <v>8278.4665323216686</v>
      </c>
      <c r="R34" s="97">
        <f t="shared" si="30"/>
        <v>8122.9312913960348</v>
      </c>
      <c r="S34" s="97">
        <f t="shared" si="30"/>
        <v>11105.320680542645</v>
      </c>
      <c r="T34" s="251">
        <f t="shared" si="30"/>
        <v>13064.347579373163</v>
      </c>
      <c r="U34" s="97">
        <f t="shared" si="30"/>
        <v>9119.8194627530265</v>
      </c>
      <c r="V34" s="97">
        <f t="shared" si="30"/>
        <v>9897.3231781512404</v>
      </c>
      <c r="W34" s="252">
        <f t="shared" si="30"/>
        <v>539.23031520685072</v>
      </c>
      <c r="X34" s="97">
        <f t="shared" si="30"/>
        <v>0</v>
      </c>
      <c r="Y34" s="44">
        <f t="shared" ref="Y34" si="31">SUM(C34:X34)</f>
        <v>5.0931703299283981E-11</v>
      </c>
    </row>
    <row r="35" spans="1:42" x14ac:dyDescent="0.2">
      <c r="C35" s="34"/>
      <c r="D35" s="34"/>
      <c r="F35" s="34" t="s">
        <v>271</v>
      </c>
      <c r="G35" s="250">
        <f>SUM(F34:G34)</f>
        <v>27825.778047716754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T35" s="34" t="s">
        <v>272</v>
      </c>
      <c r="U35" s="34"/>
      <c r="V35" s="34"/>
      <c r="W35" s="250">
        <f>SUM(T34:W34)</f>
        <v>32620.720535484281</v>
      </c>
      <c r="X35" s="34"/>
      <c r="Y35" s="44"/>
      <c r="AA35" s="94"/>
      <c r="AB35" s="292" t="s">
        <v>281</v>
      </c>
      <c r="AC35" s="293"/>
      <c r="AD35" s="293"/>
      <c r="AE35" s="293"/>
      <c r="AF35" s="294"/>
    </row>
    <row r="36" spans="1:42" ht="13.5" thickBot="1" x14ac:dyDescent="0.25">
      <c r="AA36" s="94"/>
      <c r="AB36" s="295"/>
      <c r="AC36" s="296"/>
      <c r="AD36" s="296"/>
      <c r="AE36" s="296"/>
      <c r="AF36" s="297"/>
    </row>
    <row r="37" spans="1:42" ht="26.25" thickBot="1" x14ac:dyDescent="0.25">
      <c r="AA37" s="298" t="s">
        <v>105</v>
      </c>
      <c r="AB37" s="299" t="s">
        <v>106</v>
      </c>
      <c r="AC37" s="298" t="s">
        <v>107</v>
      </c>
      <c r="AD37" s="82" t="s">
        <v>108</v>
      </c>
      <c r="AE37" s="300" t="s">
        <v>286</v>
      </c>
      <c r="AF37" s="301" t="s">
        <v>39</v>
      </c>
    </row>
    <row r="38" spans="1:42" ht="13.5" thickBot="1" x14ac:dyDescent="0.25">
      <c r="C38" s="80"/>
      <c r="M38" s="34"/>
      <c r="AA38" s="302"/>
      <c r="AB38" s="303"/>
      <c r="AC38" s="304"/>
      <c r="AD38" s="82" t="s">
        <v>282</v>
      </c>
      <c r="AE38" s="300" t="s">
        <v>283</v>
      </c>
      <c r="AF38" s="301" t="s">
        <v>284</v>
      </c>
      <c r="AH38" s="5"/>
      <c r="AJ38" s="5"/>
      <c r="AL38" s="5"/>
      <c r="AM38" s="14"/>
      <c r="AN38" s="15"/>
      <c r="AP38" s="5"/>
    </row>
    <row r="39" spans="1:42" x14ac:dyDescent="0.2">
      <c r="C39" s="80"/>
      <c r="AA39" s="83">
        <v>1</v>
      </c>
      <c r="AB39" s="84" t="s">
        <v>109</v>
      </c>
      <c r="AC39" s="85" t="s">
        <v>110</v>
      </c>
      <c r="AD39" s="305">
        <f>SUM(AE39-AF39)</f>
        <v>10480.023420297923</v>
      </c>
      <c r="AE39" s="306">
        <f>SUM(C21)</f>
        <v>20067.738626505987</v>
      </c>
      <c r="AF39" s="307">
        <f>SUM(C32)</f>
        <v>9587.715206208064</v>
      </c>
    </row>
    <row r="40" spans="1:42" x14ac:dyDescent="0.2">
      <c r="C40" s="80"/>
      <c r="AA40" s="83">
        <v>2</v>
      </c>
      <c r="AB40" s="86" t="s">
        <v>111</v>
      </c>
      <c r="AC40" s="87" t="s">
        <v>112</v>
      </c>
      <c r="AD40" s="308">
        <f t="shared" ref="AD40:AD49" si="32">SUM(AE40-AF40)</f>
        <v>6889.4506711749291</v>
      </c>
      <c r="AE40" s="306">
        <f>SUM(D21)</f>
        <v>11259.809295155688</v>
      </c>
      <c r="AF40" s="307">
        <f>SUM(D32)</f>
        <v>4370.3586239807591</v>
      </c>
    </row>
    <row r="41" spans="1:42" x14ac:dyDescent="0.2">
      <c r="C41" s="81"/>
      <c r="AA41" s="83">
        <v>3</v>
      </c>
      <c r="AB41" s="86" t="s">
        <v>113</v>
      </c>
      <c r="AC41" s="87" t="s">
        <v>114</v>
      </c>
      <c r="AD41" s="309">
        <f t="shared" si="32"/>
        <v>6970.6828022241061</v>
      </c>
      <c r="AE41" s="306">
        <f>SUM(E21)</f>
        <v>13029.862745756222</v>
      </c>
      <c r="AF41" s="307">
        <f>SUM(E32)</f>
        <v>6059.1799435321154</v>
      </c>
    </row>
    <row r="42" spans="1:42" x14ac:dyDescent="0.2">
      <c r="C42" s="80"/>
      <c r="AA42" s="83">
        <v>4</v>
      </c>
      <c r="AB42" s="86" t="s">
        <v>115</v>
      </c>
      <c r="AC42" s="87" t="s">
        <v>110</v>
      </c>
      <c r="AD42" s="308">
        <f t="shared" si="32"/>
        <v>10454.692862838434</v>
      </c>
      <c r="AE42" s="306">
        <f>SUM(N21)</f>
        <v>54231.227024142303</v>
      </c>
      <c r="AF42" s="307">
        <f>SUM(N32)</f>
        <v>43776.534161303869</v>
      </c>
    </row>
    <row r="43" spans="1:42" x14ac:dyDescent="0.2">
      <c r="C43" s="80"/>
      <c r="AA43" s="83">
        <v>5</v>
      </c>
      <c r="AB43" s="86" t="s">
        <v>116</v>
      </c>
      <c r="AC43" s="87" t="s">
        <v>117</v>
      </c>
      <c r="AD43" s="309">
        <f t="shared" si="32"/>
        <v>15780.10032178335</v>
      </c>
      <c r="AE43" s="306">
        <f>SUM(O21)</f>
        <v>100841.31819318772</v>
      </c>
      <c r="AF43" s="307">
        <f>SUM(O32)</f>
        <v>85061.217871404369</v>
      </c>
    </row>
    <row r="44" spans="1:42" x14ac:dyDescent="0.2">
      <c r="C44" s="80"/>
      <c r="AA44" s="83">
        <v>6</v>
      </c>
      <c r="AB44" s="86" t="s">
        <v>118</v>
      </c>
      <c r="AC44" s="87" t="s">
        <v>112</v>
      </c>
      <c r="AD44" s="308">
        <f t="shared" si="32"/>
        <v>12816.46491428859</v>
      </c>
      <c r="AE44" s="306">
        <f>SUM(P21)</f>
        <v>70978.951654522956</v>
      </c>
      <c r="AF44" s="307">
        <f>SUM(P32)</f>
        <v>58162.486740234366</v>
      </c>
    </row>
    <row r="45" spans="1:42" x14ac:dyDescent="0.2">
      <c r="C45" s="80"/>
      <c r="AA45" s="83">
        <v>7</v>
      </c>
      <c r="AB45" s="86" t="s">
        <v>119</v>
      </c>
      <c r="AC45" s="87" t="s">
        <v>114</v>
      </c>
      <c r="AD45" s="309">
        <f t="shared" si="32"/>
        <v>8278.4665323216686</v>
      </c>
      <c r="AE45" s="306">
        <f>SUM(Q21)</f>
        <v>41526.555793203559</v>
      </c>
      <c r="AF45" s="307">
        <f>SUM(Q32)</f>
        <v>33248.08926088189</v>
      </c>
    </row>
    <row r="46" spans="1:42" x14ac:dyDescent="0.2">
      <c r="C46" s="80"/>
      <c r="AA46" s="83">
        <v>8</v>
      </c>
      <c r="AB46" s="86" t="s">
        <v>120</v>
      </c>
      <c r="AC46" s="87" t="s">
        <v>110</v>
      </c>
      <c r="AD46" s="309">
        <f t="shared" si="32"/>
        <v>8122.9312913960348</v>
      </c>
      <c r="AE46" s="306">
        <f>SUM(R21)</f>
        <v>38137.432716723757</v>
      </c>
      <c r="AF46" s="307">
        <f>SUM(R32)</f>
        <v>30014.501425327722</v>
      </c>
    </row>
    <row r="47" spans="1:42" x14ac:dyDescent="0.2">
      <c r="C47" s="80"/>
      <c r="AA47" s="83">
        <v>9</v>
      </c>
      <c r="AB47" s="84" t="s">
        <v>121</v>
      </c>
      <c r="AC47" s="87" t="s">
        <v>110</v>
      </c>
      <c r="AD47" s="308">
        <f t="shared" si="32"/>
        <v>11105.320680542645</v>
      </c>
      <c r="AE47" s="306">
        <f>SUM(S21)</f>
        <v>68408.449742660625</v>
      </c>
      <c r="AF47" s="307">
        <f>SUM(S32)</f>
        <v>57303.12906211798</v>
      </c>
    </row>
    <row r="48" spans="1:42" x14ac:dyDescent="0.2">
      <c r="C48" s="80"/>
      <c r="AA48" s="83">
        <v>10</v>
      </c>
      <c r="AB48" s="86" t="s">
        <v>122</v>
      </c>
      <c r="AC48" s="87" t="s">
        <v>123</v>
      </c>
      <c r="AD48" s="309">
        <f t="shared" si="32"/>
        <v>32620.720535484288</v>
      </c>
      <c r="AE48" s="306">
        <f>SUM(T21:W21)</f>
        <v>163392.87669502984</v>
      </c>
      <c r="AF48" s="307">
        <f>SUM(T32:W32)</f>
        <v>130772.15615954556</v>
      </c>
    </row>
    <row r="49" spans="3:32" ht="13.5" thickBot="1" x14ac:dyDescent="0.25">
      <c r="C49" s="80"/>
      <c r="AA49" s="88">
        <v>11</v>
      </c>
      <c r="AB49" s="89" t="s">
        <v>124</v>
      </c>
      <c r="AC49" s="90" t="s">
        <v>125</v>
      </c>
      <c r="AD49" s="310">
        <f t="shared" si="32"/>
        <v>27825.778047716754</v>
      </c>
      <c r="AE49" s="311">
        <f>SUM(F21:G21)</f>
        <v>50878.437874460156</v>
      </c>
      <c r="AF49" s="312">
        <f>SUM(F32:G32)</f>
        <v>23052.659826743402</v>
      </c>
    </row>
    <row r="50" spans="3:32" ht="13.5" thickBot="1" x14ac:dyDescent="0.25">
      <c r="C50" s="81"/>
      <c r="AA50" s="91">
        <v>12</v>
      </c>
      <c r="AB50" s="92" t="s">
        <v>126</v>
      </c>
      <c r="AC50" s="93" t="s">
        <v>127</v>
      </c>
      <c r="AD50" s="313">
        <f>SUM(AE50-AF50)</f>
        <v>-125850.08365612963</v>
      </c>
      <c r="AE50" s="314">
        <f>SUM(M21)</f>
        <v>204604.59585555541</v>
      </c>
      <c r="AF50" s="315">
        <f>SUM(M32)</f>
        <v>330454.67951168504</v>
      </c>
    </row>
    <row r="51" spans="3:32" ht="13.5" thickBot="1" x14ac:dyDescent="0.25">
      <c r="AA51" s="91" t="s">
        <v>128</v>
      </c>
      <c r="AB51" s="316" t="s">
        <v>129</v>
      </c>
      <c r="AC51" s="93" t="s">
        <v>130</v>
      </c>
      <c r="AD51" s="317">
        <f>SUM(AE51-AF51)</f>
        <v>-1084124.8110547857</v>
      </c>
      <c r="AE51" s="314">
        <f>SUM(H21)</f>
        <v>1372684.113783096</v>
      </c>
      <c r="AF51" s="315">
        <f>SUM(H32)</f>
        <v>2456808.9248378817</v>
      </c>
    </row>
    <row r="52" spans="3:32" ht="13.5" thickBot="1" x14ac:dyDescent="0.25">
      <c r="AA52" s="94"/>
      <c r="AB52" s="318" t="s">
        <v>285</v>
      </c>
      <c r="AC52" s="319"/>
      <c r="AD52" s="320"/>
      <c r="AE52" s="321">
        <f>SUM(AE39:AE51)</f>
        <v>2210041.37</v>
      </c>
      <c r="AF52" s="321">
        <f>SUM(AF39:AF51)</f>
        <v>3268671.6326308469</v>
      </c>
    </row>
    <row r="53" spans="3:32" ht="13.5" thickBot="1" x14ac:dyDescent="0.25">
      <c r="AA53" s="94"/>
      <c r="AB53" s="95" t="s">
        <v>131</v>
      </c>
      <c r="AC53" s="96"/>
      <c r="AD53" s="322">
        <f>SUM(AD39:AD49)</f>
        <v>151344.6320800687</v>
      </c>
      <c r="AE53" s="96"/>
      <c r="AF53" s="323"/>
    </row>
    <row r="54" spans="3:32" x14ac:dyDescent="0.2">
      <c r="F54" s="94"/>
      <c r="AF54" s="326">
        <f ca="1">NOW()</f>
        <v>42696.387155324075</v>
      </c>
    </row>
  </sheetData>
  <mergeCells count="19">
    <mergeCell ref="AB35:AF36"/>
    <mergeCell ref="AA37:AA38"/>
    <mergeCell ref="AB37:AB38"/>
    <mergeCell ref="AC37:AC38"/>
    <mergeCell ref="A3:B3"/>
    <mergeCell ref="A7:B7"/>
    <mergeCell ref="A15:B15"/>
    <mergeCell ref="A23:B23"/>
    <mergeCell ref="A27:B27"/>
    <mergeCell ref="A34:B34"/>
    <mergeCell ref="A18:B18"/>
    <mergeCell ref="A26:B26"/>
    <mergeCell ref="A28:B28"/>
    <mergeCell ref="A29:B29"/>
    <mergeCell ref="AA7:AB7"/>
    <mergeCell ref="AA8:AB8"/>
    <mergeCell ref="AA9:AB9"/>
    <mergeCell ref="F1:G1"/>
    <mergeCell ref="F13:G13"/>
  </mergeCells>
  <pageMargins left="0.25" right="0.25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zoomScale="80" zoomScaleNormal="80" workbookViewId="0">
      <selection activeCell="T45" sqref="T45"/>
    </sheetView>
  </sheetViews>
  <sheetFormatPr baseColWidth="10" defaultRowHeight="15" x14ac:dyDescent="0.25"/>
  <cols>
    <col min="1" max="1" width="5.7109375" style="1" bestFit="1" customWidth="1"/>
    <col min="2" max="2" width="25.5703125" style="1" bestFit="1" customWidth="1"/>
    <col min="3" max="3" width="2.7109375" style="37" customWidth="1"/>
    <col min="4" max="4" width="7.7109375" style="1" bestFit="1" customWidth="1"/>
    <col min="5" max="5" width="8.85546875" style="34" bestFit="1" customWidth="1"/>
    <col min="6" max="6" width="7.85546875" style="34" bestFit="1" customWidth="1"/>
    <col min="7" max="7" width="2.7109375" style="37" customWidth="1"/>
    <col min="8" max="8" width="8.7109375" style="1" bestFit="1" customWidth="1"/>
    <col min="9" max="9" width="6.85546875" style="34" bestFit="1" customWidth="1"/>
    <col min="10" max="10" width="8.85546875" style="34" bestFit="1" customWidth="1"/>
    <col min="11" max="11" width="2.7109375" style="37" customWidth="1"/>
    <col min="12" max="13" width="10" style="34" bestFit="1" customWidth="1"/>
    <col min="14" max="14" width="2.7109375" customWidth="1"/>
    <col min="15" max="15" width="20.140625" style="61" customWidth="1"/>
  </cols>
  <sheetData>
    <row r="1" spans="1:18" s="254" customFormat="1" ht="19.5" customHeight="1" thickBot="1" x14ac:dyDescent="0.3">
      <c r="A1" s="289" t="s">
        <v>278</v>
      </c>
      <c r="B1" s="290"/>
      <c r="C1" s="57"/>
      <c r="D1" s="289" t="s">
        <v>51</v>
      </c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0"/>
    </row>
    <row r="2" spans="1:18" ht="15.75" thickBot="1" x14ac:dyDescent="0.3">
      <c r="A2" s="49"/>
      <c r="B2" s="49"/>
      <c r="C2" s="56"/>
      <c r="E2" s="58" t="s">
        <v>93</v>
      </c>
      <c r="F2" s="58" t="s">
        <v>94</v>
      </c>
      <c r="G2" s="56"/>
      <c r="I2" s="58" t="s">
        <v>93</v>
      </c>
      <c r="J2" s="58" t="s">
        <v>94</v>
      </c>
      <c r="K2" s="56"/>
      <c r="L2" s="54" t="s">
        <v>93</v>
      </c>
      <c r="M2" s="54" t="s">
        <v>94</v>
      </c>
    </row>
    <row r="3" spans="1:18" ht="26.25" thickBot="1" x14ac:dyDescent="0.3">
      <c r="A3" s="68" t="s">
        <v>37</v>
      </c>
      <c r="B3" s="255" t="s">
        <v>92</v>
      </c>
      <c r="C3" s="57"/>
      <c r="D3" s="52" t="s">
        <v>9</v>
      </c>
      <c r="E3" s="55">
        <f>'Synthèse ASL'!H16</f>
        <v>524368.80865509761</v>
      </c>
      <c r="F3" s="53">
        <f>'Synthèse ASL'!H24</f>
        <v>48731.421859956252</v>
      </c>
      <c r="G3" s="57"/>
      <c r="H3" s="52" t="s">
        <v>53</v>
      </c>
      <c r="I3" s="55">
        <f>'Synthèse ASL'!H17</f>
        <v>5247.9702826855118</v>
      </c>
      <c r="J3" s="53">
        <f>'Synthèse ASL'!H25</f>
        <v>464007.76826415095</v>
      </c>
      <c r="K3" s="57"/>
      <c r="L3" s="52" t="s">
        <v>95</v>
      </c>
      <c r="M3" s="256" t="s">
        <v>275</v>
      </c>
      <c r="O3" s="73" t="s">
        <v>273</v>
      </c>
    </row>
    <row r="4" spans="1:18" x14ac:dyDescent="0.25">
      <c r="O4" s="62"/>
    </row>
    <row r="5" spans="1:18" x14ac:dyDescent="0.25">
      <c r="A5" s="1">
        <v>1</v>
      </c>
      <c r="B5" s="1" t="s">
        <v>55</v>
      </c>
      <c r="D5" s="4">
        <v>67</v>
      </c>
      <c r="E5" s="34">
        <f t="shared" ref="E5:E43" si="0">$E$3*D5/$D$44</f>
        <v>107439.4806724512</v>
      </c>
      <c r="F5" s="34">
        <f t="shared" ref="F5:F43" si="1">$F$3*D5/$D$44</f>
        <v>9984.7255798687111</v>
      </c>
      <c r="H5" s="1">
        <v>7</v>
      </c>
      <c r="I5" s="34">
        <f t="shared" ref="I5:I43" si="2">$I$3*H5/$H$44</f>
        <v>202.96017667844521</v>
      </c>
      <c r="J5" s="34">
        <f t="shared" ref="J5:J43" si="3">$J$3*H5/$H$44</f>
        <v>17945.051811320754</v>
      </c>
      <c r="L5" s="39">
        <f>'Synthèse ASL'!H20</f>
        <v>176957.25378309577</v>
      </c>
      <c r="M5" s="39">
        <f>'Synthèse ASL'!H31</f>
        <v>213777.09365155746</v>
      </c>
      <c r="N5" s="51"/>
      <c r="O5" s="62">
        <f>E5-F5+I5-J5+L5-M5</f>
        <v>42892.823589478503</v>
      </c>
      <c r="Q5" s="51"/>
      <c r="R5" s="51"/>
    </row>
    <row r="6" spans="1:18" x14ac:dyDescent="0.25">
      <c r="A6" s="1">
        <v>2</v>
      </c>
      <c r="B6" s="1" t="s">
        <v>56</v>
      </c>
      <c r="E6" s="34">
        <f t="shared" si="0"/>
        <v>0</v>
      </c>
      <c r="F6" s="34">
        <f t="shared" si="1"/>
        <v>0</v>
      </c>
      <c r="I6" s="34">
        <f t="shared" si="2"/>
        <v>0</v>
      </c>
      <c r="J6" s="34">
        <f t="shared" si="3"/>
        <v>0</v>
      </c>
      <c r="O6" s="62">
        <f t="shared" ref="O6:O43" si="4">E6-F6+I6-J6+L6-M6</f>
        <v>0</v>
      </c>
    </row>
    <row r="7" spans="1:18" x14ac:dyDescent="0.25">
      <c r="A7" s="1">
        <v>3</v>
      </c>
      <c r="B7" s="1" t="s">
        <v>57</v>
      </c>
      <c r="E7" s="34">
        <f t="shared" si="0"/>
        <v>0</v>
      </c>
      <c r="F7" s="34">
        <f t="shared" si="1"/>
        <v>0</v>
      </c>
      <c r="I7" s="34">
        <f t="shared" si="2"/>
        <v>0</v>
      </c>
      <c r="J7" s="34">
        <f t="shared" si="3"/>
        <v>0</v>
      </c>
      <c r="O7" s="62">
        <f t="shared" si="4"/>
        <v>0</v>
      </c>
    </row>
    <row r="8" spans="1:18" x14ac:dyDescent="0.25">
      <c r="A8" s="1">
        <v>4</v>
      </c>
      <c r="B8" s="1" t="s">
        <v>58</v>
      </c>
      <c r="E8" s="34">
        <f t="shared" si="0"/>
        <v>0</v>
      </c>
      <c r="F8" s="34">
        <f t="shared" si="1"/>
        <v>0</v>
      </c>
      <c r="I8" s="34">
        <f t="shared" si="2"/>
        <v>0</v>
      </c>
      <c r="J8" s="34">
        <f t="shared" si="3"/>
        <v>0</v>
      </c>
      <c r="O8" s="62">
        <f t="shared" si="4"/>
        <v>0</v>
      </c>
    </row>
    <row r="9" spans="1:18" x14ac:dyDescent="0.25">
      <c r="A9" s="1">
        <v>5</v>
      </c>
      <c r="B9" s="1" t="s">
        <v>59</v>
      </c>
      <c r="D9" s="1">
        <v>28</v>
      </c>
      <c r="E9" s="34">
        <f t="shared" si="0"/>
        <v>44900.081475054227</v>
      </c>
      <c r="F9" s="34">
        <f>$F$3*D9/$D$44</f>
        <v>4172.7211378555812</v>
      </c>
      <c r="H9" s="1">
        <v>4</v>
      </c>
      <c r="I9" s="34">
        <f t="shared" si="2"/>
        <v>115.9772438162544</v>
      </c>
      <c r="J9" s="34">
        <f t="shared" si="3"/>
        <v>10254.315320754717</v>
      </c>
      <c r="O9" s="62">
        <f t="shared" si="4"/>
        <v>30589.022260260186</v>
      </c>
    </row>
    <row r="10" spans="1:18" x14ac:dyDescent="0.25">
      <c r="A10" s="1">
        <v>6</v>
      </c>
      <c r="B10" s="1" t="s">
        <v>60</v>
      </c>
      <c r="D10" s="1">
        <v>2</v>
      </c>
      <c r="E10" s="34">
        <f t="shared" si="0"/>
        <v>3207.1486767895881</v>
      </c>
      <c r="F10" s="34">
        <f t="shared" si="1"/>
        <v>298.05150984682723</v>
      </c>
      <c r="I10" s="34">
        <f t="shared" si="2"/>
        <v>0</v>
      </c>
      <c r="J10" s="34">
        <f t="shared" si="3"/>
        <v>0</v>
      </c>
      <c r="O10" s="62">
        <f t="shared" si="4"/>
        <v>2909.0971669427609</v>
      </c>
    </row>
    <row r="11" spans="1:18" x14ac:dyDescent="0.25">
      <c r="A11" s="1">
        <v>7</v>
      </c>
      <c r="B11" s="1" t="s">
        <v>61</v>
      </c>
      <c r="D11" s="1">
        <v>1</v>
      </c>
      <c r="E11" s="34">
        <f t="shared" si="0"/>
        <v>1603.574338394794</v>
      </c>
      <c r="F11" s="34">
        <f t="shared" si="1"/>
        <v>149.02575492341361</v>
      </c>
      <c r="I11" s="34">
        <f t="shared" si="2"/>
        <v>0</v>
      </c>
      <c r="J11" s="34">
        <f t="shared" si="3"/>
        <v>0</v>
      </c>
      <c r="O11" s="62">
        <f t="shared" si="4"/>
        <v>1454.5485834713804</v>
      </c>
    </row>
    <row r="12" spans="1:18" x14ac:dyDescent="0.25">
      <c r="A12" s="1">
        <v>8</v>
      </c>
      <c r="B12" s="18" t="s">
        <v>62</v>
      </c>
      <c r="D12" s="18">
        <v>2</v>
      </c>
      <c r="E12" s="34">
        <f t="shared" si="0"/>
        <v>3207.1486767895881</v>
      </c>
      <c r="F12" s="34">
        <f t="shared" si="1"/>
        <v>298.05150984682723</v>
      </c>
      <c r="H12" s="18"/>
      <c r="I12" s="34">
        <f t="shared" si="2"/>
        <v>0</v>
      </c>
      <c r="J12" s="34">
        <f t="shared" si="3"/>
        <v>0</v>
      </c>
      <c r="O12" s="62">
        <f t="shared" si="4"/>
        <v>2909.0971669427609</v>
      </c>
    </row>
    <row r="13" spans="1:18" x14ac:dyDescent="0.25">
      <c r="A13" s="1">
        <v>9</v>
      </c>
      <c r="B13" s="18" t="s">
        <v>63</v>
      </c>
      <c r="D13" s="18">
        <v>1</v>
      </c>
      <c r="E13" s="34">
        <f t="shared" si="0"/>
        <v>1603.574338394794</v>
      </c>
      <c r="F13" s="34">
        <f t="shared" si="1"/>
        <v>149.02575492341361</v>
      </c>
      <c r="H13" s="18"/>
      <c r="I13" s="34">
        <f t="shared" si="2"/>
        <v>0</v>
      </c>
      <c r="J13" s="34">
        <f t="shared" si="3"/>
        <v>0</v>
      </c>
      <c r="O13" s="62">
        <f t="shared" si="4"/>
        <v>1454.5485834713804</v>
      </c>
    </row>
    <row r="14" spans="1:18" x14ac:dyDescent="0.25">
      <c r="A14" s="1">
        <v>10</v>
      </c>
      <c r="B14" s="18" t="s">
        <v>64</v>
      </c>
      <c r="D14" s="18">
        <v>28</v>
      </c>
      <c r="E14" s="34">
        <f t="shared" si="0"/>
        <v>44900.081475054227</v>
      </c>
      <c r="F14" s="34">
        <f t="shared" si="1"/>
        <v>4172.7211378555812</v>
      </c>
      <c r="H14" s="18">
        <v>15</v>
      </c>
      <c r="I14" s="34">
        <f t="shared" si="2"/>
        <v>434.91466431095404</v>
      </c>
      <c r="J14" s="34">
        <f t="shared" si="3"/>
        <v>38453.682452830188</v>
      </c>
      <c r="O14" s="62">
        <f t="shared" si="4"/>
        <v>2708.5925486794149</v>
      </c>
    </row>
    <row r="15" spans="1:18" x14ac:dyDescent="0.25">
      <c r="A15" s="1">
        <v>11</v>
      </c>
      <c r="B15" s="18" t="s">
        <v>65</v>
      </c>
      <c r="D15" s="18">
        <v>31</v>
      </c>
      <c r="E15" s="34">
        <f t="shared" si="0"/>
        <v>49710.80449023861</v>
      </c>
      <c r="F15" s="34">
        <f t="shared" si="1"/>
        <v>4619.7984026258218</v>
      </c>
      <c r="H15" s="18">
        <v>14</v>
      </c>
      <c r="I15" s="34">
        <f t="shared" si="2"/>
        <v>405.92035335689042</v>
      </c>
      <c r="J15" s="34">
        <f t="shared" si="3"/>
        <v>35890.103622641509</v>
      </c>
      <c r="O15" s="62">
        <f t="shared" si="4"/>
        <v>9606.8228183281681</v>
      </c>
    </row>
    <row r="16" spans="1:18" x14ac:dyDescent="0.25">
      <c r="A16" s="1">
        <v>12</v>
      </c>
      <c r="B16" s="18" t="s">
        <v>66</v>
      </c>
      <c r="D16" s="18">
        <v>10</v>
      </c>
      <c r="E16" s="34">
        <f t="shared" si="0"/>
        <v>16035.74338394794</v>
      </c>
      <c r="F16" s="34">
        <f t="shared" si="1"/>
        <v>1490.2575492341361</v>
      </c>
      <c r="H16" s="18">
        <v>2</v>
      </c>
      <c r="I16" s="34">
        <f t="shared" si="2"/>
        <v>57.9886219081272</v>
      </c>
      <c r="J16" s="34">
        <f t="shared" si="3"/>
        <v>5127.1576603773583</v>
      </c>
      <c r="O16" s="62">
        <f t="shared" si="4"/>
        <v>9476.3167962445732</v>
      </c>
    </row>
    <row r="17" spans="1:15" x14ac:dyDescent="0.25">
      <c r="A17" s="1">
        <v>114</v>
      </c>
      <c r="B17" s="18" t="s">
        <v>67</v>
      </c>
      <c r="D17" s="18">
        <v>1</v>
      </c>
      <c r="E17" s="34">
        <f t="shared" si="0"/>
        <v>1603.574338394794</v>
      </c>
      <c r="F17" s="34">
        <f t="shared" si="1"/>
        <v>149.02575492341361</v>
      </c>
      <c r="H17" s="18"/>
      <c r="I17" s="34">
        <f t="shared" si="2"/>
        <v>0</v>
      </c>
      <c r="J17" s="34">
        <f t="shared" si="3"/>
        <v>0</v>
      </c>
      <c r="O17" s="62">
        <f t="shared" si="4"/>
        <v>1454.5485834713804</v>
      </c>
    </row>
    <row r="18" spans="1:15" x14ac:dyDescent="0.25">
      <c r="A18" s="1">
        <v>15</v>
      </c>
      <c r="B18" s="18" t="s">
        <v>68</v>
      </c>
      <c r="D18" s="18">
        <v>1</v>
      </c>
      <c r="E18" s="34">
        <f t="shared" si="0"/>
        <v>1603.574338394794</v>
      </c>
      <c r="F18" s="34">
        <f t="shared" si="1"/>
        <v>149.02575492341361</v>
      </c>
      <c r="H18" s="18"/>
      <c r="I18" s="34">
        <f t="shared" si="2"/>
        <v>0</v>
      </c>
      <c r="J18" s="34">
        <f t="shared" si="3"/>
        <v>0</v>
      </c>
      <c r="O18" s="62">
        <f t="shared" si="4"/>
        <v>1454.5485834713804</v>
      </c>
    </row>
    <row r="19" spans="1:15" x14ac:dyDescent="0.25">
      <c r="A19" s="1">
        <v>16</v>
      </c>
      <c r="B19" s="18" t="s">
        <v>69</v>
      </c>
      <c r="D19" s="18">
        <v>1</v>
      </c>
      <c r="E19" s="34">
        <f t="shared" si="0"/>
        <v>1603.574338394794</v>
      </c>
      <c r="F19" s="34">
        <f t="shared" si="1"/>
        <v>149.02575492341361</v>
      </c>
      <c r="H19" s="18"/>
      <c r="I19" s="34">
        <f t="shared" si="2"/>
        <v>0</v>
      </c>
      <c r="J19" s="34">
        <f t="shared" si="3"/>
        <v>0</v>
      </c>
      <c r="O19" s="62">
        <f t="shared" si="4"/>
        <v>1454.5485834713804</v>
      </c>
    </row>
    <row r="20" spans="1:15" x14ac:dyDescent="0.25">
      <c r="A20" s="63">
        <v>17</v>
      </c>
      <c r="B20" s="64" t="s">
        <v>70</v>
      </c>
      <c r="C20" s="47"/>
      <c r="D20" s="64">
        <v>5</v>
      </c>
      <c r="E20" s="65">
        <f t="shared" si="0"/>
        <v>8017.87169197397</v>
      </c>
      <c r="F20" s="65">
        <f t="shared" si="1"/>
        <v>745.12877461706807</v>
      </c>
      <c r="G20" s="47"/>
      <c r="H20" s="64">
        <v>8</v>
      </c>
      <c r="I20" s="65">
        <f t="shared" si="2"/>
        <v>231.9544876325088</v>
      </c>
      <c r="J20" s="65">
        <f t="shared" si="3"/>
        <v>20508.630641509433</v>
      </c>
      <c r="K20" s="47"/>
      <c r="L20" s="65"/>
      <c r="M20" s="65"/>
      <c r="N20" s="66"/>
      <c r="O20" s="67">
        <f>E20-F20+I20-J20+L20-M20</f>
        <v>-13003.933236520023</v>
      </c>
    </row>
    <row r="21" spans="1:15" x14ac:dyDescent="0.25">
      <c r="A21" s="1">
        <v>18</v>
      </c>
      <c r="B21" s="18" t="s">
        <v>71</v>
      </c>
      <c r="D21" s="18">
        <v>39.5</v>
      </c>
      <c r="E21" s="34">
        <f t="shared" si="0"/>
        <v>63341.18636659436</v>
      </c>
      <c r="F21" s="34">
        <f t="shared" si="1"/>
        <v>5886.5173194748377</v>
      </c>
      <c r="H21" s="18">
        <v>17</v>
      </c>
      <c r="I21" s="34">
        <f t="shared" si="2"/>
        <v>492.90328621908117</v>
      </c>
      <c r="J21" s="34">
        <f t="shared" si="3"/>
        <v>43580.840113207545</v>
      </c>
      <c r="L21" s="39"/>
      <c r="M21" s="39"/>
      <c r="O21" s="62">
        <f t="shared" si="4"/>
        <v>14366.73222013106</v>
      </c>
    </row>
    <row r="22" spans="1:15" x14ac:dyDescent="0.25">
      <c r="A22" s="1">
        <v>119</v>
      </c>
      <c r="B22" s="18" t="s">
        <v>72</v>
      </c>
      <c r="D22" s="18">
        <v>24</v>
      </c>
      <c r="E22" s="34">
        <f t="shared" si="0"/>
        <v>38485.784121475052</v>
      </c>
      <c r="F22" s="34">
        <f t="shared" si="1"/>
        <v>3576.6181181619268</v>
      </c>
      <c r="H22" s="18">
        <v>6</v>
      </c>
      <c r="I22" s="34">
        <f t="shared" si="2"/>
        <v>173.96586572438162</v>
      </c>
      <c r="J22" s="34">
        <f t="shared" si="3"/>
        <v>15381.472981132076</v>
      </c>
      <c r="L22" s="39"/>
      <c r="M22" s="39"/>
      <c r="O22" s="62">
        <f t="shared" si="4"/>
        <v>19701.658887905429</v>
      </c>
    </row>
    <row r="23" spans="1:15" x14ac:dyDescent="0.25">
      <c r="A23" s="1">
        <v>211</v>
      </c>
      <c r="B23" s="18" t="s">
        <v>73</v>
      </c>
      <c r="D23" s="18">
        <v>7</v>
      </c>
      <c r="E23" s="34">
        <f t="shared" si="0"/>
        <v>11225.020368763557</v>
      </c>
      <c r="F23" s="34">
        <f t="shared" si="1"/>
        <v>1043.1802844638953</v>
      </c>
      <c r="H23" s="18">
        <v>4</v>
      </c>
      <c r="I23" s="34">
        <f t="shared" si="2"/>
        <v>115.9772438162544</v>
      </c>
      <c r="J23" s="34">
        <f t="shared" si="3"/>
        <v>10254.315320754717</v>
      </c>
      <c r="L23" s="39"/>
      <c r="M23" s="39"/>
      <c r="O23" s="62">
        <f t="shared" si="4"/>
        <v>43.502007361199503</v>
      </c>
    </row>
    <row r="24" spans="1:15" x14ac:dyDescent="0.25">
      <c r="A24" s="1">
        <v>22</v>
      </c>
      <c r="B24" s="18" t="s">
        <v>74</v>
      </c>
      <c r="D24" s="18">
        <v>14</v>
      </c>
      <c r="E24" s="34">
        <f t="shared" si="0"/>
        <v>22450.040737527113</v>
      </c>
      <c r="F24" s="34">
        <f t="shared" si="1"/>
        <v>2086.3605689277906</v>
      </c>
      <c r="H24" s="18">
        <v>6</v>
      </c>
      <c r="I24" s="34">
        <f t="shared" si="2"/>
        <v>173.96586572438162</v>
      </c>
      <c r="J24" s="34">
        <f t="shared" si="3"/>
        <v>15381.472981132076</v>
      </c>
      <c r="L24" s="39"/>
      <c r="M24" s="39"/>
      <c r="O24" s="62">
        <f t="shared" si="4"/>
        <v>5156.1730531916292</v>
      </c>
    </row>
    <row r="25" spans="1:15" x14ac:dyDescent="0.25">
      <c r="A25" s="63">
        <v>23</v>
      </c>
      <c r="B25" s="64" t="s">
        <v>75</v>
      </c>
      <c r="C25" s="47"/>
      <c r="D25" s="64"/>
      <c r="E25" s="65">
        <f t="shared" si="0"/>
        <v>0</v>
      </c>
      <c r="F25" s="65">
        <f t="shared" si="1"/>
        <v>0</v>
      </c>
      <c r="G25" s="47"/>
      <c r="H25" s="64">
        <v>6</v>
      </c>
      <c r="I25" s="65">
        <f t="shared" si="2"/>
        <v>173.96586572438162</v>
      </c>
      <c r="J25" s="65">
        <f t="shared" si="3"/>
        <v>15381.472981132076</v>
      </c>
      <c r="K25" s="47"/>
      <c r="L25" s="65"/>
      <c r="M25" s="65"/>
      <c r="N25" s="66"/>
      <c r="O25" s="67">
        <f t="shared" si="4"/>
        <v>-15207.507115407694</v>
      </c>
    </row>
    <row r="26" spans="1:15" x14ac:dyDescent="0.25">
      <c r="A26" s="1">
        <v>24</v>
      </c>
      <c r="B26" s="18" t="s">
        <v>76</v>
      </c>
      <c r="D26" s="18">
        <v>8</v>
      </c>
      <c r="E26" s="34">
        <f t="shared" si="0"/>
        <v>12828.594707158352</v>
      </c>
      <c r="F26" s="34">
        <f t="shared" si="1"/>
        <v>1192.2060393873089</v>
      </c>
      <c r="H26" s="18"/>
      <c r="I26" s="34">
        <f t="shared" si="2"/>
        <v>0</v>
      </c>
      <c r="J26" s="34">
        <f t="shared" si="3"/>
        <v>0</v>
      </c>
      <c r="L26" s="39"/>
      <c r="M26" s="39"/>
      <c r="O26" s="62">
        <f t="shared" si="4"/>
        <v>11636.388667771043</v>
      </c>
    </row>
    <row r="27" spans="1:15" x14ac:dyDescent="0.25">
      <c r="A27" s="1">
        <v>25</v>
      </c>
      <c r="B27" s="18" t="s">
        <v>77</v>
      </c>
      <c r="D27" s="18"/>
      <c r="E27" s="34">
        <f t="shared" si="0"/>
        <v>0</v>
      </c>
      <c r="F27" s="34">
        <f t="shared" si="1"/>
        <v>0</v>
      </c>
      <c r="H27" s="18"/>
      <c r="I27" s="34">
        <f t="shared" si="2"/>
        <v>0</v>
      </c>
      <c r="J27" s="34">
        <f t="shared" si="3"/>
        <v>0</v>
      </c>
      <c r="L27" s="39"/>
      <c r="M27" s="39"/>
      <c r="O27" s="62">
        <f t="shared" si="4"/>
        <v>0</v>
      </c>
    </row>
    <row r="28" spans="1:15" x14ac:dyDescent="0.25">
      <c r="A28" s="1">
        <v>26</v>
      </c>
      <c r="B28" s="18" t="s">
        <v>78</v>
      </c>
      <c r="D28" s="18"/>
      <c r="E28" s="34">
        <f t="shared" si="0"/>
        <v>0</v>
      </c>
      <c r="F28" s="34">
        <f t="shared" si="1"/>
        <v>0</v>
      </c>
      <c r="H28" s="18"/>
      <c r="I28" s="34">
        <f t="shared" si="2"/>
        <v>0</v>
      </c>
      <c r="J28" s="34">
        <f t="shared" si="3"/>
        <v>0</v>
      </c>
      <c r="L28" s="39"/>
      <c r="M28" s="39"/>
      <c r="O28" s="62">
        <f t="shared" si="4"/>
        <v>0</v>
      </c>
    </row>
    <row r="29" spans="1:15" x14ac:dyDescent="0.25">
      <c r="A29" s="1">
        <v>272</v>
      </c>
      <c r="B29" s="18" t="s">
        <v>79</v>
      </c>
      <c r="D29" s="18"/>
      <c r="E29" s="34">
        <f t="shared" si="0"/>
        <v>0</v>
      </c>
      <c r="F29" s="34">
        <f t="shared" si="1"/>
        <v>0</v>
      </c>
      <c r="H29" s="18"/>
      <c r="I29" s="34">
        <f t="shared" si="2"/>
        <v>0</v>
      </c>
      <c r="J29" s="34">
        <f t="shared" si="3"/>
        <v>0</v>
      </c>
      <c r="L29" s="39"/>
      <c r="M29" s="39"/>
      <c r="O29" s="62">
        <f t="shared" si="4"/>
        <v>0</v>
      </c>
    </row>
    <row r="30" spans="1:15" x14ac:dyDescent="0.25">
      <c r="A30" s="63">
        <v>29</v>
      </c>
      <c r="B30" s="64" t="s">
        <v>80</v>
      </c>
      <c r="C30" s="47"/>
      <c r="D30" s="64">
        <v>2</v>
      </c>
      <c r="E30" s="65">
        <f t="shared" si="0"/>
        <v>3207.1486767895881</v>
      </c>
      <c r="F30" s="65">
        <f t="shared" si="1"/>
        <v>298.05150984682723</v>
      </c>
      <c r="G30" s="47"/>
      <c r="H30" s="64">
        <v>17</v>
      </c>
      <c r="I30" s="65">
        <f t="shared" si="2"/>
        <v>492.90328621908117</v>
      </c>
      <c r="J30" s="65">
        <f t="shared" si="3"/>
        <v>43580.840113207545</v>
      </c>
      <c r="K30" s="47"/>
      <c r="L30" s="65"/>
      <c r="M30" s="65"/>
      <c r="N30" s="66"/>
      <c r="O30" s="67">
        <f t="shared" si="4"/>
        <v>-40178.839660045705</v>
      </c>
    </row>
    <row r="31" spans="1:15" x14ac:dyDescent="0.25">
      <c r="A31" s="63">
        <v>30</v>
      </c>
      <c r="B31" s="64" t="s">
        <v>81</v>
      </c>
      <c r="C31" s="47"/>
      <c r="D31" s="64">
        <v>3.5</v>
      </c>
      <c r="E31" s="65">
        <f t="shared" si="0"/>
        <v>5612.5101843817783</v>
      </c>
      <c r="F31" s="65">
        <f t="shared" si="1"/>
        <v>521.59014223194765</v>
      </c>
      <c r="G31" s="47"/>
      <c r="H31" s="64">
        <v>9</v>
      </c>
      <c r="I31" s="65">
        <f t="shared" si="2"/>
        <v>260.94879858657242</v>
      </c>
      <c r="J31" s="65">
        <f t="shared" si="3"/>
        <v>23072.209471698116</v>
      </c>
      <c r="K31" s="47"/>
      <c r="L31" s="65"/>
      <c r="M31" s="65"/>
      <c r="N31" s="66"/>
      <c r="O31" s="67">
        <f t="shared" si="4"/>
        <v>-17720.340630961713</v>
      </c>
    </row>
    <row r="32" spans="1:15" x14ac:dyDescent="0.25">
      <c r="A32" s="63">
        <v>31</v>
      </c>
      <c r="B32" s="64" t="s">
        <v>82</v>
      </c>
      <c r="C32" s="47"/>
      <c r="D32" s="64">
        <v>1</v>
      </c>
      <c r="E32" s="65">
        <f t="shared" si="0"/>
        <v>1603.574338394794</v>
      </c>
      <c r="F32" s="65">
        <f t="shared" si="1"/>
        <v>149.02575492341361</v>
      </c>
      <c r="G32" s="47"/>
      <c r="H32" s="64">
        <v>2</v>
      </c>
      <c r="I32" s="65">
        <f t="shared" si="2"/>
        <v>57.9886219081272</v>
      </c>
      <c r="J32" s="65">
        <f t="shared" si="3"/>
        <v>5127.1576603773583</v>
      </c>
      <c r="K32" s="47"/>
      <c r="L32" s="65"/>
      <c r="M32" s="65"/>
      <c r="N32" s="66"/>
      <c r="O32" s="67">
        <f t="shared" si="4"/>
        <v>-3614.6204549978506</v>
      </c>
    </row>
    <row r="33" spans="1:15" x14ac:dyDescent="0.25">
      <c r="A33" s="1">
        <v>32</v>
      </c>
      <c r="B33" s="18" t="s">
        <v>83</v>
      </c>
      <c r="D33" s="18">
        <v>1</v>
      </c>
      <c r="E33" s="34">
        <f t="shared" si="0"/>
        <v>1603.574338394794</v>
      </c>
      <c r="F33" s="34">
        <f t="shared" si="1"/>
        <v>149.02575492341361</v>
      </c>
      <c r="H33" s="18"/>
      <c r="I33" s="34">
        <f t="shared" si="2"/>
        <v>0</v>
      </c>
      <c r="J33" s="34">
        <f t="shared" si="3"/>
        <v>0</v>
      </c>
      <c r="O33" s="62">
        <f t="shared" si="4"/>
        <v>1454.5485834713804</v>
      </c>
    </row>
    <row r="34" spans="1:15" x14ac:dyDescent="0.25">
      <c r="A34" s="1">
        <v>330</v>
      </c>
      <c r="B34" s="18" t="s">
        <v>84</v>
      </c>
      <c r="D34" s="18"/>
      <c r="E34" s="34">
        <f t="shared" si="0"/>
        <v>0</v>
      </c>
      <c r="F34" s="34">
        <f t="shared" si="1"/>
        <v>0</v>
      </c>
      <c r="H34" s="18"/>
      <c r="I34" s="34">
        <f t="shared" si="2"/>
        <v>0</v>
      </c>
      <c r="J34" s="34">
        <f t="shared" si="3"/>
        <v>0</v>
      </c>
      <c r="O34" s="62">
        <f t="shared" si="4"/>
        <v>0</v>
      </c>
    </row>
    <row r="35" spans="1:15" x14ac:dyDescent="0.25">
      <c r="A35" s="63">
        <v>34</v>
      </c>
      <c r="B35" s="64" t="s">
        <v>85</v>
      </c>
      <c r="C35" s="47"/>
      <c r="D35" s="64">
        <v>2</v>
      </c>
      <c r="E35" s="65">
        <f t="shared" si="0"/>
        <v>3207.1486767895881</v>
      </c>
      <c r="F35" s="65">
        <f t="shared" si="1"/>
        <v>298.05150984682723</v>
      </c>
      <c r="G35" s="47"/>
      <c r="H35" s="64">
        <v>4</v>
      </c>
      <c r="I35" s="65">
        <f t="shared" si="2"/>
        <v>115.9772438162544</v>
      </c>
      <c r="J35" s="65">
        <f t="shared" si="3"/>
        <v>10254.315320754717</v>
      </c>
      <c r="K35" s="47"/>
      <c r="L35" s="65"/>
      <c r="M35" s="65"/>
      <c r="N35" s="66"/>
      <c r="O35" s="67">
        <f t="shared" si="4"/>
        <v>-7229.2409099957013</v>
      </c>
    </row>
    <row r="36" spans="1:15" x14ac:dyDescent="0.25">
      <c r="A36" s="63">
        <v>35</v>
      </c>
      <c r="B36" s="64" t="s">
        <v>86</v>
      </c>
      <c r="C36" s="47"/>
      <c r="D36" s="64">
        <v>1</v>
      </c>
      <c r="E36" s="65">
        <f t="shared" si="0"/>
        <v>1603.574338394794</v>
      </c>
      <c r="F36" s="65">
        <f t="shared" si="1"/>
        <v>149.02575492341361</v>
      </c>
      <c r="G36" s="47"/>
      <c r="H36" s="64">
        <v>2</v>
      </c>
      <c r="I36" s="65">
        <f t="shared" si="2"/>
        <v>57.9886219081272</v>
      </c>
      <c r="J36" s="65">
        <f t="shared" si="3"/>
        <v>5127.1576603773583</v>
      </c>
      <c r="K36" s="47"/>
      <c r="L36" s="65"/>
      <c r="M36" s="65"/>
      <c r="N36" s="66"/>
      <c r="O36" s="67">
        <f t="shared" si="4"/>
        <v>-3614.6204549978506</v>
      </c>
    </row>
    <row r="37" spans="1:15" x14ac:dyDescent="0.25">
      <c r="A37" s="1">
        <v>36</v>
      </c>
      <c r="B37" s="18" t="s">
        <v>87</v>
      </c>
      <c r="D37" s="18">
        <v>10</v>
      </c>
      <c r="E37" s="34">
        <f t="shared" si="0"/>
        <v>16035.74338394794</v>
      </c>
      <c r="F37" s="34">
        <f t="shared" si="1"/>
        <v>1490.2575492341361</v>
      </c>
      <c r="H37" s="18"/>
      <c r="I37" s="34">
        <f t="shared" si="2"/>
        <v>0</v>
      </c>
      <c r="J37" s="34">
        <f t="shared" si="3"/>
        <v>0</v>
      </c>
      <c r="O37" s="62">
        <f t="shared" si="4"/>
        <v>14545.485834713803</v>
      </c>
    </row>
    <row r="38" spans="1:15" x14ac:dyDescent="0.25">
      <c r="A38" s="1">
        <v>37</v>
      </c>
      <c r="B38" s="4" t="s">
        <v>88</v>
      </c>
      <c r="E38" s="34">
        <f t="shared" si="0"/>
        <v>0</v>
      </c>
      <c r="F38" s="34">
        <f t="shared" si="1"/>
        <v>0</v>
      </c>
      <c r="I38" s="34">
        <f t="shared" si="2"/>
        <v>0</v>
      </c>
      <c r="J38" s="34">
        <f t="shared" si="3"/>
        <v>0</v>
      </c>
      <c r="O38" s="62">
        <f t="shared" si="4"/>
        <v>0</v>
      </c>
    </row>
    <row r="39" spans="1:15" x14ac:dyDescent="0.25">
      <c r="A39" s="1">
        <v>40</v>
      </c>
      <c r="B39" s="1" t="s">
        <v>89</v>
      </c>
      <c r="E39" s="34">
        <f t="shared" si="0"/>
        <v>0</v>
      </c>
      <c r="F39" s="34">
        <f t="shared" si="1"/>
        <v>0</v>
      </c>
      <c r="I39" s="34">
        <f t="shared" si="2"/>
        <v>0</v>
      </c>
      <c r="J39" s="34">
        <f t="shared" si="3"/>
        <v>0</v>
      </c>
      <c r="O39" s="62">
        <f t="shared" si="4"/>
        <v>0</v>
      </c>
    </row>
    <row r="40" spans="1:15" x14ac:dyDescent="0.25">
      <c r="B40" s="1" t="s">
        <v>52</v>
      </c>
      <c r="D40" s="1">
        <v>21</v>
      </c>
      <c r="E40" s="34">
        <f t="shared" si="0"/>
        <v>33675.061106290676</v>
      </c>
      <c r="F40" s="34">
        <f t="shared" si="1"/>
        <v>3129.5408533916861</v>
      </c>
      <c r="I40" s="34">
        <f t="shared" si="2"/>
        <v>0</v>
      </c>
      <c r="J40" s="34">
        <f t="shared" si="3"/>
        <v>0</v>
      </c>
      <c r="O40" s="62">
        <f t="shared" si="4"/>
        <v>30545.52025289899</v>
      </c>
    </row>
    <row r="41" spans="1:15" x14ac:dyDescent="0.25">
      <c r="A41" s="1">
        <v>41</v>
      </c>
      <c r="B41" s="1" t="s">
        <v>98</v>
      </c>
      <c r="D41" s="1">
        <v>15</v>
      </c>
      <c r="E41" s="34">
        <f t="shared" si="0"/>
        <v>24053.615075921909</v>
      </c>
      <c r="F41" s="34">
        <f>$F$3*D41/$D$44</f>
        <v>2235.3863238512045</v>
      </c>
      <c r="I41" s="34">
        <f t="shared" si="2"/>
        <v>0</v>
      </c>
      <c r="J41" s="34">
        <f t="shared" si="3"/>
        <v>0</v>
      </c>
      <c r="O41" s="62">
        <f t="shared" si="4"/>
        <v>21818.228752070703</v>
      </c>
    </row>
    <row r="42" spans="1:15" x14ac:dyDescent="0.25">
      <c r="A42" s="1">
        <v>42</v>
      </c>
      <c r="B42" s="1" t="s">
        <v>90</v>
      </c>
      <c r="E42" s="34">
        <f t="shared" si="0"/>
        <v>0</v>
      </c>
      <c r="F42" s="34">
        <f t="shared" si="1"/>
        <v>0</v>
      </c>
      <c r="I42" s="34">
        <f t="shared" si="2"/>
        <v>0</v>
      </c>
      <c r="J42" s="34">
        <f t="shared" si="3"/>
        <v>0</v>
      </c>
      <c r="O42" s="62">
        <f t="shared" si="4"/>
        <v>0</v>
      </c>
    </row>
    <row r="43" spans="1:15" x14ac:dyDescent="0.25">
      <c r="A43" s="63">
        <v>43</v>
      </c>
      <c r="B43" s="64" t="s">
        <v>91</v>
      </c>
      <c r="C43" s="47"/>
      <c r="D43" s="64"/>
      <c r="E43" s="65">
        <f t="shared" si="0"/>
        <v>0</v>
      </c>
      <c r="F43" s="65">
        <f t="shared" si="1"/>
        <v>0</v>
      </c>
      <c r="G43" s="47"/>
      <c r="H43" s="64">
        <v>58</v>
      </c>
      <c r="I43" s="65">
        <f t="shared" si="2"/>
        <v>1681.6700353356887</v>
      </c>
      <c r="J43" s="65">
        <f t="shared" si="3"/>
        <v>148687.57215094339</v>
      </c>
      <c r="K43" s="47"/>
      <c r="L43" s="65"/>
      <c r="M43" s="65"/>
      <c r="N43" s="66"/>
      <c r="O43" s="67">
        <f t="shared" si="4"/>
        <v>-147005.90211560769</v>
      </c>
    </row>
    <row r="44" spans="1:15" s="61" customFormat="1" x14ac:dyDescent="0.25">
      <c r="A44" s="11"/>
      <c r="B44" s="11" t="s">
        <v>54</v>
      </c>
      <c r="C44" s="59"/>
      <c r="D44" s="60">
        <f>SUM(D5:D43)</f>
        <v>327</v>
      </c>
      <c r="E44" s="44">
        <f>SUM(E5:E43)</f>
        <v>524368.80865509773</v>
      </c>
      <c r="F44" s="44">
        <f>SUM(F5:F43)</f>
        <v>48731.421859956252</v>
      </c>
      <c r="G44" s="59"/>
      <c r="H44" s="60">
        <f>SUM(H5:H43)</f>
        <v>181</v>
      </c>
      <c r="I44" s="44">
        <f>SUM(I5:I43)</f>
        <v>5247.9702826855118</v>
      </c>
      <c r="J44" s="44">
        <f>SUM(J5:J43)</f>
        <v>464007.76826415095</v>
      </c>
      <c r="K44" s="59"/>
      <c r="L44" s="44">
        <f>SUM(L5:L43)</f>
        <v>176957.25378309577</v>
      </c>
      <c r="M44" s="44">
        <f>SUM(M5:M43)</f>
        <v>213777.09365155746</v>
      </c>
      <c r="O44" s="62">
        <f>E44-F44+I44-J44+L44-M44</f>
        <v>-19942.251054785593</v>
      </c>
    </row>
    <row r="45" spans="1:15" ht="15.75" thickBot="1" x14ac:dyDescent="0.3"/>
    <row r="46" spans="1:15" ht="15.75" thickBot="1" x14ac:dyDescent="0.3">
      <c r="B46" s="253" t="s">
        <v>274</v>
      </c>
      <c r="C46" s="247"/>
      <c r="D46" s="219"/>
      <c r="E46" s="247"/>
      <c r="F46" s="247"/>
      <c r="G46" s="247"/>
      <c r="H46" s="219"/>
      <c r="I46" s="247"/>
      <c r="J46" s="247"/>
      <c r="K46" s="247"/>
      <c r="L46" s="247"/>
      <c r="M46" s="247"/>
      <c r="N46" s="287">
        <f>-SUMIF(O4:O43,"&lt;0",O4:O43)</f>
        <v>247575.00457853425</v>
      </c>
      <c r="O46" s="288"/>
    </row>
    <row r="48" spans="1:15" x14ac:dyDescent="0.25">
      <c r="B48" s="50"/>
    </row>
    <row r="103" spans="2:2" x14ac:dyDescent="0.25">
      <c r="B103" s="5"/>
    </row>
  </sheetData>
  <mergeCells count="3">
    <mergeCell ref="N46:O46"/>
    <mergeCell ref="A1:B1"/>
    <mergeCell ref="D1:O1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Compta liée ASL et SOCOPARs</vt:lpstr>
      <vt:lpstr>Synthèse ASL</vt:lpstr>
      <vt:lpstr>Synthèse SOCOPARs</vt:lpstr>
      <vt:lpstr>'Synthèse ASL'!Zone_d_impression</vt:lpstr>
      <vt:lpstr>'Synthèse SOCOPARs'!Zone_d_impression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Collectif</dc:creator>
  <cp:lastModifiedBy>Alexis Riviere</cp:lastModifiedBy>
  <cp:lastPrinted>2016-11-22T07:47:12Z</cp:lastPrinted>
  <dcterms:created xsi:type="dcterms:W3CDTF">2016-11-19T09:23:50Z</dcterms:created>
  <dcterms:modified xsi:type="dcterms:W3CDTF">2016-11-22T08:17:39Z</dcterms:modified>
</cp:coreProperties>
</file>